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D:\OneDrive - Pontificia Universidad Javeriana\Informacion\Desktop\DERECHOS PECUNIARIOS\2023\DEFINITIVO\"/>
    </mc:Choice>
  </mc:AlternateContent>
  <xr:revisionPtr revIDLastSave="0" documentId="13_ncr:1_{63EBB25A-5C93-4F14-8CE6-B611C739B9AA}" xr6:coauthVersionLast="36" xr6:coauthVersionMax="36" xr10:uidLastSave="{00000000-0000-0000-0000-000000000000}"/>
  <bookViews>
    <workbookView xWindow="0" yWindow="0" windowWidth="20490" windowHeight="6950" tabRatio="852" xr2:uid="{00000000-000D-0000-FFFF-FFFF00000000}"/>
  </bookViews>
  <sheets>
    <sheet name="Contenido" sheetId="11" r:id="rId1"/>
    <sheet name="Valor de los Proyectos2024" sheetId="1" r:id="rId2"/>
    <sheet name="Valor de los Proyectos2022 (2)" sheetId="16" state="hidden" r:id="rId3"/>
    <sheet name="Presupuesto aprobado 2024" sheetId="17" state="hidden" r:id="rId4"/>
    <sheet name="Hoja2" sheetId="18" state="hidden" r:id="rId5"/>
    <sheet name="RecursosInversiones2024" sheetId="3" state="hidden" r:id="rId6"/>
    <sheet name="Valores Matricula2023 - 2024" sheetId="13" r:id="rId7"/>
    <sheet name="Valores Matricula2017-2018 (2)" sheetId="14" state="hidden" r:id="rId8"/>
    <sheet name="OtrosConceptos" sheetId="10" r:id="rId9"/>
  </sheets>
  <definedNames>
    <definedName name="_xlnm._FilterDatabase" localSheetId="7" hidden="1">'Valores Matricula2017-2018 (2)'!$B$11:$W$60</definedName>
    <definedName name="_xlnm._FilterDatabase" localSheetId="6" hidden="1">'Valores Matricula2023 - 2024'!$B$11:$W$75</definedName>
    <definedName name="_xlnm.Print_Area" localSheetId="7">'Valores Matricula2017-2018 (2)'!$A$11:$W$67</definedName>
    <definedName name="_xlnm.Print_Area" localSheetId="6">'Valores Matricula2023 - 2024'!$A$11:$W$98</definedName>
    <definedName name="_xlnm.Print_Titles" localSheetId="7">'Valores Matricula2017-2018 (2)'!#REF!</definedName>
    <definedName name="_xlnm.Print_Titles" localSheetId="6">'Valores Matricula2023 - 2024'!#REF!</definedName>
  </definedNames>
  <calcPr calcId="191029"/>
</workbook>
</file>

<file path=xl/calcChain.xml><?xml version="1.0" encoding="utf-8"?>
<calcChain xmlns="http://schemas.openxmlformats.org/spreadsheetml/2006/main">
  <c r="G261" i="17" l="1"/>
  <c r="G260" i="17"/>
  <c r="G257" i="17"/>
  <c r="G105" i="17"/>
  <c r="G236" i="17" s="1"/>
  <c r="G74" i="17"/>
  <c r="G44" i="17"/>
  <c r="G53" i="17" s="1"/>
  <c r="G29" i="17"/>
  <c r="G32" i="17" s="1"/>
  <c r="G54" i="17" l="1"/>
  <c r="O31" i="13"/>
  <c r="O33" i="13"/>
  <c r="M31" i="13"/>
  <c r="M30" i="13"/>
  <c r="M32" i="13" l="1"/>
  <c r="O32" i="13"/>
  <c r="M28" i="13"/>
  <c r="O73" i="13"/>
  <c r="I73" i="13"/>
  <c r="M14" i="13"/>
  <c r="Q14" i="13" s="1"/>
  <c r="R14" i="13" s="1"/>
  <c r="M13" i="13"/>
  <c r="J6" i="1"/>
  <c r="J9" i="1" s="1"/>
  <c r="M177" i="13" l="1"/>
  <c r="Q177" i="13"/>
  <c r="R177" i="13" s="1"/>
  <c r="S177" i="13" s="1"/>
  <c r="O177" i="13"/>
  <c r="P177" i="13" s="1"/>
  <c r="O113" i="13"/>
  <c r="O112" i="13"/>
  <c r="M113" i="13"/>
  <c r="M112" i="13"/>
  <c r="O175" i="13"/>
  <c r="M175" i="13"/>
  <c r="O174" i="13"/>
  <c r="M174" i="13"/>
  <c r="O173" i="13"/>
  <c r="M173" i="13"/>
  <c r="O172" i="13"/>
  <c r="M172" i="13"/>
  <c r="O170" i="13"/>
  <c r="M170" i="13"/>
  <c r="O169" i="13"/>
  <c r="M169" i="13"/>
  <c r="O168" i="13"/>
  <c r="M168" i="13"/>
  <c r="O167" i="13"/>
  <c r="M167" i="13"/>
  <c r="O166" i="13"/>
  <c r="M166" i="13"/>
  <c r="O165" i="13"/>
  <c r="M165" i="13"/>
  <c r="P165" i="13" s="1"/>
  <c r="O164" i="13"/>
  <c r="M164" i="13"/>
  <c r="P164" i="13" s="1"/>
  <c r="O163" i="13"/>
  <c r="M163" i="13"/>
  <c r="O162" i="13"/>
  <c r="M162" i="13"/>
  <c r="O161" i="13"/>
  <c r="M161" i="13"/>
  <c r="O160" i="13"/>
  <c r="M160" i="13"/>
  <c r="P160" i="13" s="1"/>
  <c r="O159" i="13"/>
  <c r="P159" i="13" s="1"/>
  <c r="M159" i="13"/>
  <c r="O158" i="13"/>
  <c r="M158" i="13"/>
  <c r="O157" i="13"/>
  <c r="M157" i="13"/>
  <c r="O156" i="13"/>
  <c r="M156" i="13"/>
  <c r="O155" i="13"/>
  <c r="M155" i="13"/>
  <c r="O154" i="13"/>
  <c r="M154" i="13"/>
  <c r="O153" i="13"/>
  <c r="M153" i="13"/>
  <c r="O152" i="13"/>
  <c r="M152" i="13"/>
  <c r="O151" i="13"/>
  <c r="M151" i="13"/>
  <c r="O150" i="13"/>
  <c r="M150" i="13"/>
  <c r="O149" i="13"/>
  <c r="M149" i="13"/>
  <c r="O148" i="13"/>
  <c r="M148" i="13"/>
  <c r="O147" i="13"/>
  <c r="M147" i="13"/>
  <c r="O146" i="13"/>
  <c r="M146" i="13"/>
  <c r="O145" i="13"/>
  <c r="M145" i="13"/>
  <c r="O144" i="13"/>
  <c r="M144" i="13"/>
  <c r="P144" i="13" s="1"/>
  <c r="O143" i="13"/>
  <c r="M143" i="13"/>
  <c r="O141" i="13"/>
  <c r="M141" i="13"/>
  <c r="O140" i="13"/>
  <c r="M140" i="13"/>
  <c r="O139" i="13"/>
  <c r="M139" i="13"/>
  <c r="O138" i="13"/>
  <c r="M138" i="13"/>
  <c r="O137" i="13"/>
  <c r="M137" i="13"/>
  <c r="O136" i="13"/>
  <c r="M136" i="13"/>
  <c r="O135" i="13"/>
  <c r="M135" i="13"/>
  <c r="O134" i="13"/>
  <c r="M134" i="13"/>
  <c r="O133" i="13"/>
  <c r="M133" i="13"/>
  <c r="O132" i="13"/>
  <c r="M132" i="13"/>
  <c r="O131" i="13"/>
  <c r="M131" i="13"/>
  <c r="O130" i="13"/>
  <c r="M130" i="13"/>
  <c r="P130" i="13" s="1"/>
  <c r="O129" i="13"/>
  <c r="M129" i="13"/>
  <c r="O128" i="13"/>
  <c r="M128" i="13"/>
  <c r="O127" i="13"/>
  <c r="M127" i="13"/>
  <c r="P127" i="13" s="1"/>
  <c r="O126" i="13"/>
  <c r="M126" i="13"/>
  <c r="O125" i="13"/>
  <c r="M125" i="13"/>
  <c r="O124" i="13"/>
  <c r="M124" i="13"/>
  <c r="O123" i="13"/>
  <c r="M123" i="13"/>
  <c r="O122" i="13"/>
  <c r="M122" i="13"/>
  <c r="O121" i="13"/>
  <c r="M121" i="13"/>
  <c r="O120" i="13"/>
  <c r="M120" i="13"/>
  <c r="O117" i="13"/>
  <c r="M117" i="13"/>
  <c r="O116" i="13"/>
  <c r="M116" i="13"/>
  <c r="O115" i="13"/>
  <c r="M115" i="13"/>
  <c r="O114" i="13"/>
  <c r="M114" i="13"/>
  <c r="O111" i="13"/>
  <c r="M111" i="13"/>
  <c r="O110" i="13"/>
  <c r="M110" i="13"/>
  <c r="O109" i="13"/>
  <c r="M109" i="13"/>
  <c r="O108" i="13"/>
  <c r="M108" i="13"/>
  <c r="O107" i="13"/>
  <c r="M107" i="13"/>
  <c r="O106" i="13"/>
  <c r="M106" i="13"/>
  <c r="O105" i="13"/>
  <c r="M105" i="13"/>
  <c r="O104" i="13"/>
  <c r="M104" i="13"/>
  <c r="O103" i="13"/>
  <c r="M103" i="13"/>
  <c r="P103" i="13" s="1"/>
  <c r="O102" i="13"/>
  <c r="M102" i="13"/>
  <c r="O101" i="13"/>
  <c r="M101" i="13"/>
  <c r="O100" i="13"/>
  <c r="M100" i="13"/>
  <c r="O99" i="13"/>
  <c r="M99" i="13"/>
  <c r="O98" i="13"/>
  <c r="M98" i="13"/>
  <c r="O96" i="13"/>
  <c r="M96" i="13"/>
  <c r="O95" i="13"/>
  <c r="M95" i="13"/>
  <c r="O94" i="13"/>
  <c r="M94" i="13"/>
  <c r="O93" i="13"/>
  <c r="M93" i="13"/>
  <c r="O92" i="13"/>
  <c r="M92" i="13"/>
  <c r="P92" i="13" s="1"/>
  <c r="O91" i="13"/>
  <c r="M91" i="13"/>
  <c r="O90" i="13"/>
  <c r="M90" i="13"/>
  <c r="O89" i="13"/>
  <c r="M89" i="13"/>
  <c r="O88" i="13"/>
  <c r="M88" i="13"/>
  <c r="O87" i="13"/>
  <c r="M87" i="13"/>
  <c r="O86" i="13"/>
  <c r="M86" i="13"/>
  <c r="P86" i="13" s="1"/>
  <c r="O85" i="13"/>
  <c r="M85" i="13"/>
  <c r="O84" i="13"/>
  <c r="M84" i="13"/>
  <c r="O83" i="13"/>
  <c r="M83" i="13"/>
  <c r="O82" i="13"/>
  <c r="M82" i="13"/>
  <c r="O81" i="13"/>
  <c r="M81" i="13"/>
  <c r="O80" i="13"/>
  <c r="M80" i="13"/>
  <c r="O79" i="13"/>
  <c r="M79" i="13"/>
  <c r="O78" i="13"/>
  <c r="M78" i="13"/>
  <c r="O77" i="13"/>
  <c r="M77" i="13"/>
  <c r="O72" i="13"/>
  <c r="M72" i="13"/>
  <c r="O71" i="13"/>
  <c r="M71" i="13"/>
  <c r="O70" i="13"/>
  <c r="M70" i="13"/>
  <c r="O69" i="13"/>
  <c r="M69" i="13"/>
  <c r="O68" i="13"/>
  <c r="M68" i="13"/>
  <c r="O67" i="13"/>
  <c r="M67" i="13"/>
  <c r="O65" i="13"/>
  <c r="M65" i="13"/>
  <c r="O64" i="13"/>
  <c r="M64" i="13"/>
  <c r="O63" i="13"/>
  <c r="M63" i="13"/>
  <c r="O62" i="13"/>
  <c r="M62" i="13"/>
  <c r="O61" i="13"/>
  <c r="M61" i="13"/>
  <c r="O60" i="13"/>
  <c r="M60" i="13"/>
  <c r="O59" i="13"/>
  <c r="M59" i="13"/>
  <c r="O58" i="13"/>
  <c r="M58" i="13"/>
  <c r="O56" i="13"/>
  <c r="M56" i="13"/>
  <c r="O55" i="13"/>
  <c r="M55" i="13"/>
  <c r="O54" i="13"/>
  <c r="M54" i="13"/>
  <c r="O53" i="13"/>
  <c r="M53" i="13"/>
  <c r="O52" i="13"/>
  <c r="M52" i="13"/>
  <c r="O51" i="13"/>
  <c r="M51" i="13"/>
  <c r="O50" i="13"/>
  <c r="M50" i="13"/>
  <c r="O49" i="13"/>
  <c r="M49" i="13"/>
  <c r="O48" i="13"/>
  <c r="M48" i="13"/>
  <c r="O47" i="13"/>
  <c r="M47" i="13"/>
  <c r="M36" i="13"/>
  <c r="O45" i="13"/>
  <c r="M45" i="13"/>
  <c r="O44" i="13"/>
  <c r="M44" i="13"/>
  <c r="O43" i="13"/>
  <c r="M43" i="13"/>
  <c r="O42" i="13"/>
  <c r="M42" i="13"/>
  <c r="O41" i="13"/>
  <c r="M41" i="13"/>
  <c r="O40" i="13"/>
  <c r="M40" i="13"/>
  <c r="O39" i="13"/>
  <c r="M39" i="13"/>
  <c r="O38" i="13"/>
  <c r="M38" i="13"/>
  <c r="O37" i="13"/>
  <c r="M37" i="13"/>
  <c r="O36" i="13"/>
  <c r="O35" i="13"/>
  <c r="M35" i="13"/>
  <c r="O34" i="13"/>
  <c r="M34" i="13"/>
  <c r="M33" i="13"/>
  <c r="O28" i="13"/>
  <c r="O27" i="13"/>
  <c r="M27" i="13"/>
  <c r="O26" i="13"/>
  <c r="M26" i="13"/>
  <c r="O25" i="13"/>
  <c r="M25" i="13"/>
  <c r="O24" i="13"/>
  <c r="M24" i="13"/>
  <c r="O23" i="13"/>
  <c r="M23" i="13"/>
  <c r="M21" i="13"/>
  <c r="O22" i="13"/>
  <c r="M22" i="13"/>
  <c r="O21" i="13"/>
  <c r="O19" i="13"/>
  <c r="M20" i="13"/>
  <c r="M19" i="13"/>
  <c r="M18" i="13"/>
  <c r="O20" i="13"/>
  <c r="O18" i="13"/>
  <c r="O17" i="13"/>
  <c r="M17" i="13"/>
  <c r="M16" i="13"/>
  <c r="Q16" i="13" s="1"/>
  <c r="R16" i="13" s="1"/>
  <c r="S16" i="13" s="1"/>
  <c r="O16" i="13"/>
  <c r="T16" i="13" s="1"/>
  <c r="U16" i="13" s="1"/>
  <c r="O14" i="13"/>
  <c r="T14" i="13" s="1"/>
  <c r="O15" i="13"/>
  <c r="M15" i="13"/>
  <c r="O13" i="13"/>
  <c r="P111" i="13" l="1"/>
  <c r="P122" i="13"/>
  <c r="P129" i="13"/>
  <c r="P147" i="13"/>
  <c r="P112" i="13"/>
  <c r="P170" i="13"/>
  <c r="P151" i="13"/>
  <c r="P154" i="13"/>
  <c r="P145" i="13"/>
  <c r="P143" i="13"/>
  <c r="P149" i="13"/>
  <c r="P167" i="13"/>
  <c r="P161" i="13"/>
  <c r="P162" i="13"/>
  <c r="P156" i="13"/>
  <c r="P155" i="13"/>
  <c r="P173" i="13"/>
  <c r="P174" i="13"/>
  <c r="P113" i="13"/>
  <c r="P109" i="13"/>
  <c r="P107" i="13"/>
  <c r="P140" i="13"/>
  <c r="P141" i="13"/>
  <c r="P124" i="13"/>
  <c r="P120" i="13"/>
  <c r="P139" i="13"/>
  <c r="P135" i="13"/>
  <c r="P137" i="13"/>
  <c r="P133" i="13"/>
  <c r="P126" i="13"/>
  <c r="P175" i="13"/>
  <c r="P172" i="13"/>
  <c r="P169" i="13"/>
  <c r="P168" i="13"/>
  <c r="P166" i="13"/>
  <c r="P163" i="13"/>
  <c r="P158" i="13"/>
  <c r="P157" i="13"/>
  <c r="P153" i="13"/>
  <c r="P152" i="13"/>
  <c r="P150" i="13"/>
  <c r="P148" i="13"/>
  <c r="P146" i="13"/>
  <c r="P138" i="13"/>
  <c r="P136" i="13"/>
  <c r="P134" i="13"/>
  <c r="P132" i="13"/>
  <c r="P131" i="13"/>
  <c r="P128" i="13"/>
  <c r="P125" i="13"/>
  <c r="P123" i="13"/>
  <c r="P121" i="13"/>
  <c r="P101" i="13"/>
  <c r="P90" i="13"/>
  <c r="P114" i="13"/>
  <c r="P98" i="13"/>
  <c r="P106" i="13"/>
  <c r="P102" i="13"/>
  <c r="P117" i="13"/>
  <c r="P99" i="13"/>
  <c r="P116" i="13"/>
  <c r="P115" i="13"/>
  <c r="P110" i="13"/>
  <c r="P108" i="13"/>
  <c r="P105" i="13"/>
  <c r="P104" i="13"/>
  <c r="P100" i="13"/>
  <c r="P81" i="13"/>
  <c r="P78" i="13"/>
  <c r="P80" i="13"/>
  <c r="P84" i="13"/>
  <c r="P82" i="13"/>
  <c r="P96" i="13"/>
  <c r="P85" i="13"/>
  <c r="P95" i="13"/>
  <c r="P94" i="13"/>
  <c r="P93" i="13"/>
  <c r="P91" i="13"/>
  <c r="P89" i="13"/>
  <c r="P88" i="13"/>
  <c r="P87" i="13"/>
  <c r="P83" i="13"/>
  <c r="P79" i="13"/>
  <c r="P77" i="13"/>
  <c r="P65" i="13"/>
  <c r="P72" i="13"/>
  <c r="P59" i="13"/>
  <c r="P64" i="13"/>
  <c r="P62" i="13"/>
  <c r="P60" i="13"/>
  <c r="P71" i="13"/>
  <c r="P70" i="13"/>
  <c r="P69" i="13"/>
  <c r="P68" i="13"/>
  <c r="P67" i="13"/>
  <c r="P63" i="13"/>
  <c r="P61" i="13"/>
  <c r="P58" i="13"/>
  <c r="P40" i="13"/>
  <c r="P54" i="13"/>
  <c r="P51" i="13"/>
  <c r="P50" i="13"/>
  <c r="P55" i="13"/>
  <c r="P56" i="13"/>
  <c r="P53" i="13"/>
  <c r="P52" i="13"/>
  <c r="P49" i="13"/>
  <c r="P37" i="13"/>
  <c r="P36" i="13"/>
  <c r="P41" i="13"/>
  <c r="P28" i="13"/>
  <c r="P48" i="13"/>
  <c r="P17" i="13"/>
  <c r="P32" i="13"/>
  <c r="P47" i="13"/>
  <c r="P45" i="13"/>
  <c r="P44" i="13"/>
  <c r="P42" i="13"/>
  <c r="P43" i="13"/>
  <c r="P39" i="13"/>
  <c r="P38" i="13"/>
  <c r="P35" i="13"/>
  <c r="P34" i="13"/>
  <c r="P33" i="13"/>
  <c r="P19" i="13"/>
  <c r="P20" i="13"/>
  <c r="P21" i="13"/>
  <c r="P22" i="13"/>
  <c r="P23" i="13"/>
  <c r="P27" i="13"/>
  <c r="P26" i="13"/>
  <c r="P25" i="13"/>
  <c r="P24" i="13"/>
  <c r="P18" i="13"/>
  <c r="S14" i="13"/>
  <c r="P13" i="13"/>
  <c r="P14" i="13"/>
  <c r="Q13" i="13"/>
  <c r="P16" i="13"/>
  <c r="U14" i="13" l="1"/>
  <c r="V14" i="13" s="1"/>
  <c r="W14" i="13" s="1"/>
  <c r="M178" i="13" l="1"/>
  <c r="T177" i="13" l="1"/>
  <c r="G73" i="13"/>
  <c r="E73" i="13"/>
  <c r="K72" i="13"/>
  <c r="I72" i="13"/>
  <c r="K71" i="13"/>
  <c r="I71" i="13"/>
  <c r="K70" i="13"/>
  <c r="I70" i="13"/>
  <c r="K69" i="13"/>
  <c r="I69" i="13"/>
  <c r="K68" i="13"/>
  <c r="I68" i="13"/>
  <c r="K67" i="13"/>
  <c r="I67" i="13"/>
  <c r="K65" i="13"/>
  <c r="I65" i="13"/>
  <c r="K64" i="13"/>
  <c r="I64" i="13"/>
  <c r="K63" i="13"/>
  <c r="I63" i="13"/>
  <c r="K62" i="13"/>
  <c r="I62" i="13"/>
  <c r="K61" i="13"/>
  <c r="I61" i="13"/>
  <c r="K60" i="13"/>
  <c r="I60" i="13"/>
  <c r="K59" i="13"/>
  <c r="I59" i="13"/>
  <c r="K58" i="13"/>
  <c r="I58" i="13"/>
  <c r="K56" i="13"/>
  <c r="I56" i="13"/>
  <c r="K55" i="13"/>
  <c r="I55" i="13"/>
  <c r="K54" i="13"/>
  <c r="I54" i="13"/>
  <c r="K170" i="13"/>
  <c r="I170" i="13"/>
  <c r="K169" i="13"/>
  <c r="I169" i="13"/>
  <c r="K168" i="13"/>
  <c r="I168" i="13"/>
  <c r="K167" i="13"/>
  <c r="I167" i="13"/>
  <c r="K166" i="13"/>
  <c r="I166" i="13"/>
  <c r="K165" i="13"/>
  <c r="I165" i="13"/>
  <c r="K164" i="13"/>
  <c r="I164" i="13"/>
  <c r="K163" i="13"/>
  <c r="I163" i="13"/>
  <c r="K162" i="13"/>
  <c r="I162" i="13"/>
  <c r="K161" i="13"/>
  <c r="I161" i="13"/>
  <c r="K160" i="13"/>
  <c r="I160" i="13"/>
  <c r="K159" i="13"/>
  <c r="I159" i="13"/>
  <c r="K158" i="13"/>
  <c r="I158" i="13"/>
  <c r="K157" i="13"/>
  <c r="I157" i="13"/>
  <c r="K156" i="13"/>
  <c r="I156" i="13"/>
  <c r="K155" i="13"/>
  <c r="I155" i="13"/>
  <c r="K154" i="13"/>
  <c r="I154" i="13"/>
  <c r="K153" i="13"/>
  <c r="I153" i="13"/>
  <c r="K152" i="13"/>
  <c r="I152" i="13"/>
  <c r="K151" i="13"/>
  <c r="I151" i="13"/>
  <c r="K150" i="13"/>
  <c r="I150" i="13"/>
  <c r="K149" i="13"/>
  <c r="I149" i="13"/>
  <c r="K148" i="13"/>
  <c r="I148" i="13"/>
  <c r="K147" i="13"/>
  <c r="I147" i="13"/>
  <c r="K146" i="13"/>
  <c r="I146" i="13"/>
  <c r="K145" i="13"/>
  <c r="I145" i="13"/>
  <c r="K144" i="13"/>
  <c r="I144" i="13"/>
  <c r="K143" i="13"/>
  <c r="I143" i="13"/>
  <c r="K141" i="13"/>
  <c r="I141" i="13"/>
  <c r="K140" i="13"/>
  <c r="I140" i="13"/>
  <c r="K139" i="13"/>
  <c r="I139" i="13"/>
  <c r="K138" i="13"/>
  <c r="I138" i="13"/>
  <c r="K137" i="13"/>
  <c r="I137" i="13"/>
  <c r="K136" i="13"/>
  <c r="I136" i="13"/>
  <c r="K135" i="13"/>
  <c r="I135" i="13"/>
  <c r="K134" i="13"/>
  <c r="I134" i="13"/>
  <c r="K133" i="13"/>
  <c r="I133" i="13"/>
  <c r="K132" i="13"/>
  <c r="I132" i="13"/>
  <c r="K131" i="13"/>
  <c r="I131" i="13"/>
  <c r="K130" i="13"/>
  <c r="I130" i="13"/>
  <c r="K129" i="13"/>
  <c r="I129" i="13"/>
  <c r="K128" i="13"/>
  <c r="I128" i="13"/>
  <c r="K127" i="13"/>
  <c r="I127" i="13"/>
  <c r="K126" i="13"/>
  <c r="I126" i="13"/>
  <c r="K125" i="13"/>
  <c r="I125" i="13"/>
  <c r="K124" i="13"/>
  <c r="I124" i="13"/>
  <c r="K123" i="13"/>
  <c r="I123" i="13"/>
  <c r="K122" i="13"/>
  <c r="I122" i="13"/>
  <c r="K121" i="13"/>
  <c r="I121" i="13"/>
  <c r="K120" i="13"/>
  <c r="I120" i="13"/>
  <c r="K117" i="13"/>
  <c r="I117" i="13"/>
  <c r="K116" i="13"/>
  <c r="I116" i="13"/>
  <c r="K115" i="13"/>
  <c r="I115" i="13"/>
  <c r="K114" i="13"/>
  <c r="I114" i="13"/>
  <c r="K113" i="13"/>
  <c r="I113" i="13"/>
  <c r="K112" i="13"/>
  <c r="I112" i="13"/>
  <c r="K111" i="13"/>
  <c r="I111" i="13"/>
  <c r="K110" i="13"/>
  <c r="I110" i="13"/>
  <c r="K109" i="13"/>
  <c r="I109" i="13"/>
  <c r="K108" i="13"/>
  <c r="I108" i="13"/>
  <c r="K107" i="13"/>
  <c r="I107" i="13"/>
  <c r="K106" i="13"/>
  <c r="I106" i="13"/>
  <c r="K105" i="13"/>
  <c r="I105" i="13"/>
  <c r="K104" i="13"/>
  <c r="I104" i="13"/>
  <c r="K103" i="13"/>
  <c r="I103" i="13"/>
  <c r="K102" i="13"/>
  <c r="I102" i="13"/>
  <c r="K101" i="13"/>
  <c r="I101" i="13"/>
  <c r="K100" i="13"/>
  <c r="I100" i="13"/>
  <c r="K99" i="13"/>
  <c r="I99" i="13"/>
  <c r="K98" i="13"/>
  <c r="I98" i="13"/>
  <c r="K96" i="13"/>
  <c r="I96" i="13"/>
  <c r="K95" i="13"/>
  <c r="I95" i="13"/>
  <c r="K94" i="13"/>
  <c r="I94" i="13"/>
  <c r="K93" i="13"/>
  <c r="I93" i="13"/>
  <c r="K92" i="13"/>
  <c r="I92" i="13"/>
  <c r="K91" i="13"/>
  <c r="I91" i="13"/>
  <c r="K90" i="13"/>
  <c r="I90" i="13"/>
  <c r="K89" i="13"/>
  <c r="I89" i="13"/>
  <c r="K88" i="13"/>
  <c r="I88" i="13"/>
  <c r="K87" i="13"/>
  <c r="I87" i="13"/>
  <c r="K86" i="13"/>
  <c r="I86" i="13"/>
  <c r="K85" i="13"/>
  <c r="I85" i="13"/>
  <c r="K84" i="13"/>
  <c r="I84" i="13"/>
  <c r="K83" i="13"/>
  <c r="I83" i="13"/>
  <c r="K82" i="13"/>
  <c r="I82" i="13"/>
  <c r="K81" i="13"/>
  <c r="I81" i="13"/>
  <c r="K80" i="13"/>
  <c r="I80" i="13"/>
  <c r="K79" i="13"/>
  <c r="I79" i="13"/>
  <c r="K78" i="13"/>
  <c r="I78" i="13"/>
  <c r="K177" i="13"/>
  <c r="I177" i="13"/>
  <c r="O178" i="13"/>
  <c r="N178" i="13"/>
  <c r="L178" i="13"/>
  <c r="E178" i="13"/>
  <c r="K175" i="13"/>
  <c r="I175" i="13"/>
  <c r="F175" i="13"/>
  <c r="K173" i="13"/>
  <c r="I173" i="13"/>
  <c r="F173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T159" i="13" l="1"/>
  <c r="U159" i="13" s="1"/>
  <c r="V159" i="13" s="1"/>
  <c r="Q159" i="13"/>
  <c r="R159" i="13" s="1"/>
  <c r="S159" i="13" s="1"/>
  <c r="Q146" i="13"/>
  <c r="R146" i="13" s="1"/>
  <c r="S146" i="13" s="1"/>
  <c r="T146" i="13"/>
  <c r="U146" i="13" s="1"/>
  <c r="V146" i="13" s="1"/>
  <c r="W146" i="13" s="1"/>
  <c r="Q154" i="13"/>
  <c r="R154" i="13" s="1"/>
  <c r="S154" i="13" s="1"/>
  <c r="T154" i="13"/>
  <c r="U154" i="13" s="1"/>
  <c r="V154" i="13" s="1"/>
  <c r="W154" i="13" s="1"/>
  <c r="Q162" i="13"/>
  <c r="R162" i="13" s="1"/>
  <c r="S162" i="13" s="1"/>
  <c r="T162" i="13"/>
  <c r="U162" i="13" s="1"/>
  <c r="V162" i="13" s="1"/>
  <c r="Q170" i="13"/>
  <c r="R170" i="13" s="1"/>
  <c r="S170" i="13" s="1"/>
  <c r="T170" i="13"/>
  <c r="U170" i="13" s="1"/>
  <c r="V170" i="13" s="1"/>
  <c r="T147" i="13"/>
  <c r="U147" i="13" s="1"/>
  <c r="V147" i="13" s="1"/>
  <c r="Q147" i="13"/>
  <c r="R147" i="13" s="1"/>
  <c r="S147" i="13" s="1"/>
  <c r="W147" i="13" s="1"/>
  <c r="T155" i="13"/>
  <c r="U155" i="13" s="1"/>
  <c r="V155" i="13" s="1"/>
  <c r="Q155" i="13"/>
  <c r="R155" i="13" s="1"/>
  <c r="S155" i="13" s="1"/>
  <c r="T163" i="13"/>
  <c r="U163" i="13" s="1"/>
  <c r="V163" i="13" s="1"/>
  <c r="Q163" i="13"/>
  <c r="R163" i="13" s="1"/>
  <c r="S163" i="13" s="1"/>
  <c r="W163" i="13" s="1"/>
  <c r="T167" i="13"/>
  <c r="U167" i="13" s="1"/>
  <c r="V167" i="13" s="1"/>
  <c r="Q167" i="13"/>
  <c r="R167" i="13" s="1"/>
  <c r="S167" i="13" s="1"/>
  <c r="W167" i="13" s="1"/>
  <c r="T173" i="13"/>
  <c r="U173" i="13" s="1"/>
  <c r="V173" i="13" s="1"/>
  <c r="Q173" i="13"/>
  <c r="R173" i="13" s="1"/>
  <c r="S173" i="13" s="1"/>
  <c r="W173" i="13" s="1"/>
  <c r="T144" i="13"/>
  <c r="U144" i="13" s="1"/>
  <c r="V144" i="13" s="1"/>
  <c r="Q144" i="13"/>
  <c r="R144" i="13" s="1"/>
  <c r="S144" i="13" s="1"/>
  <c r="W144" i="13" s="1"/>
  <c r="Q152" i="13"/>
  <c r="R152" i="13" s="1"/>
  <c r="S152" i="13" s="1"/>
  <c r="T152" i="13"/>
  <c r="U152" i="13" s="1"/>
  <c r="V152" i="13" s="1"/>
  <c r="W152" i="13" s="1"/>
  <c r="T156" i="13"/>
  <c r="U156" i="13" s="1"/>
  <c r="V156" i="13" s="1"/>
  <c r="Q156" i="13"/>
  <c r="R156" i="13" s="1"/>
  <c r="S156" i="13" s="1"/>
  <c r="W156" i="13" s="1"/>
  <c r="T160" i="13"/>
  <c r="U160" i="13" s="1"/>
  <c r="V160" i="13" s="1"/>
  <c r="Q160" i="13"/>
  <c r="R160" i="13" s="1"/>
  <c r="S160" i="13" s="1"/>
  <c r="W160" i="13" s="1"/>
  <c r="Q164" i="13"/>
  <c r="R164" i="13" s="1"/>
  <c r="S164" i="13" s="1"/>
  <c r="T164" i="13"/>
  <c r="U164" i="13" s="1"/>
  <c r="V164" i="13" s="1"/>
  <c r="W164" i="13" s="1"/>
  <c r="T168" i="13"/>
  <c r="U168" i="13" s="1"/>
  <c r="V168" i="13" s="1"/>
  <c r="Q168" i="13"/>
  <c r="R168" i="13" s="1"/>
  <c r="S168" i="13" s="1"/>
  <c r="W168" i="13" s="1"/>
  <c r="Q150" i="13"/>
  <c r="R150" i="13" s="1"/>
  <c r="S150" i="13" s="1"/>
  <c r="T150" i="13"/>
  <c r="U150" i="13" s="1"/>
  <c r="V150" i="13" s="1"/>
  <c r="T158" i="13"/>
  <c r="U158" i="13" s="1"/>
  <c r="V158" i="13" s="1"/>
  <c r="Q158" i="13"/>
  <c r="R158" i="13" s="1"/>
  <c r="S158" i="13" s="1"/>
  <c r="W158" i="13" s="1"/>
  <c r="Q166" i="13"/>
  <c r="R166" i="13" s="1"/>
  <c r="S166" i="13" s="1"/>
  <c r="T166" i="13"/>
  <c r="U166" i="13" s="1"/>
  <c r="V166" i="13" s="1"/>
  <c r="W166" i="13" s="1"/>
  <c r="T175" i="13"/>
  <c r="U175" i="13" s="1"/>
  <c r="V175" i="13" s="1"/>
  <c r="Q175" i="13"/>
  <c r="R175" i="13" s="1"/>
  <c r="S175" i="13" s="1"/>
  <c r="T143" i="13"/>
  <c r="U143" i="13" s="1"/>
  <c r="V143" i="13" s="1"/>
  <c r="Q143" i="13"/>
  <c r="R143" i="13" s="1"/>
  <c r="S143" i="13" s="1"/>
  <c r="W143" i="13" s="1"/>
  <c r="Q151" i="13"/>
  <c r="R151" i="13" s="1"/>
  <c r="S151" i="13" s="1"/>
  <c r="T151" i="13"/>
  <c r="U151" i="13" s="1"/>
  <c r="V151" i="13" s="1"/>
  <c r="Q148" i="13"/>
  <c r="R148" i="13" s="1"/>
  <c r="S148" i="13" s="1"/>
  <c r="T148" i="13"/>
  <c r="U148" i="13" s="1"/>
  <c r="V148" i="13" s="1"/>
  <c r="W148" i="13" s="1"/>
  <c r="Q145" i="13"/>
  <c r="R145" i="13" s="1"/>
  <c r="S145" i="13" s="1"/>
  <c r="T145" i="13"/>
  <c r="U145" i="13" s="1"/>
  <c r="V145" i="13" s="1"/>
  <c r="T149" i="13"/>
  <c r="U149" i="13" s="1"/>
  <c r="V149" i="13" s="1"/>
  <c r="Q149" i="13"/>
  <c r="R149" i="13" s="1"/>
  <c r="S149" i="13" s="1"/>
  <c r="W149" i="13" s="1"/>
  <c r="T153" i="13"/>
  <c r="U153" i="13" s="1"/>
  <c r="V153" i="13" s="1"/>
  <c r="Q153" i="13"/>
  <c r="R153" i="13" s="1"/>
  <c r="S153" i="13" s="1"/>
  <c r="W153" i="13" s="1"/>
  <c r="Q157" i="13"/>
  <c r="R157" i="13" s="1"/>
  <c r="S157" i="13" s="1"/>
  <c r="T157" i="13"/>
  <c r="U157" i="13" s="1"/>
  <c r="V157" i="13" s="1"/>
  <c r="T161" i="13"/>
  <c r="U161" i="13" s="1"/>
  <c r="V161" i="13" s="1"/>
  <c r="Q161" i="13"/>
  <c r="R161" i="13" s="1"/>
  <c r="S161" i="13" s="1"/>
  <c r="Q165" i="13"/>
  <c r="R165" i="13" s="1"/>
  <c r="S165" i="13" s="1"/>
  <c r="T165" i="13"/>
  <c r="U165" i="13" s="1"/>
  <c r="V165" i="13" s="1"/>
  <c r="T169" i="13"/>
  <c r="U169" i="13" s="1"/>
  <c r="V169" i="13" s="1"/>
  <c r="Q169" i="13"/>
  <c r="R169" i="13" s="1"/>
  <c r="S169" i="13" s="1"/>
  <c r="W169" i="13" s="1"/>
  <c r="U177" i="13"/>
  <c r="V177" i="13" s="1"/>
  <c r="F141" i="13"/>
  <c r="F139" i="13"/>
  <c r="F137" i="13"/>
  <c r="F135" i="13"/>
  <c r="F133" i="13"/>
  <c r="F131" i="13"/>
  <c r="F129" i="13"/>
  <c r="F127" i="13"/>
  <c r="F125" i="13"/>
  <c r="F123" i="13"/>
  <c r="F121" i="13"/>
  <c r="F115" i="13"/>
  <c r="F114" i="13"/>
  <c r="F111" i="13"/>
  <c r="F117" i="13"/>
  <c r="F113" i="13"/>
  <c r="F109" i="13"/>
  <c r="F107" i="13"/>
  <c r="F105" i="13"/>
  <c r="F103" i="13"/>
  <c r="F101" i="13"/>
  <c r="F99" i="13"/>
  <c r="F96" i="13"/>
  <c r="F94" i="13"/>
  <c r="F92" i="13"/>
  <c r="F90" i="13"/>
  <c r="F88" i="13"/>
  <c r="F86" i="13"/>
  <c r="F84" i="13"/>
  <c r="F82" i="13"/>
  <c r="F80" i="13"/>
  <c r="F78" i="13"/>
  <c r="F72" i="13"/>
  <c r="F70" i="13"/>
  <c r="F68" i="13"/>
  <c r="F65" i="13"/>
  <c r="F63" i="13"/>
  <c r="F61" i="13"/>
  <c r="F59" i="13"/>
  <c r="F56" i="13"/>
  <c r="F54" i="13"/>
  <c r="K52" i="13"/>
  <c r="I52" i="13"/>
  <c r="F52" i="13"/>
  <c r="K50" i="13"/>
  <c r="I50" i="13"/>
  <c r="F50" i="13"/>
  <c r="K48" i="13"/>
  <c r="I48" i="13"/>
  <c r="F48" i="13"/>
  <c r="T123" i="13" l="1"/>
  <c r="U123" i="13" s="1"/>
  <c r="V123" i="13" s="1"/>
  <c r="Q123" i="13"/>
  <c r="R123" i="13" s="1"/>
  <c r="S123" i="13" s="1"/>
  <c r="T131" i="13"/>
  <c r="U131" i="13" s="1"/>
  <c r="V131" i="13" s="1"/>
  <c r="Q131" i="13"/>
  <c r="R131" i="13" s="1"/>
  <c r="S131" i="13" s="1"/>
  <c r="W131" i="13" s="1"/>
  <c r="Q139" i="13"/>
  <c r="R139" i="13" s="1"/>
  <c r="S139" i="13" s="1"/>
  <c r="T139" i="13"/>
  <c r="U139" i="13" s="1"/>
  <c r="V139" i="13" s="1"/>
  <c r="W161" i="13"/>
  <c r="W145" i="13"/>
  <c r="W151" i="13"/>
  <c r="W175" i="13"/>
  <c r="W162" i="13"/>
  <c r="Q129" i="13"/>
  <c r="R129" i="13" s="1"/>
  <c r="S129" i="13" s="1"/>
  <c r="T129" i="13"/>
  <c r="U129" i="13" s="1"/>
  <c r="V129" i="13" s="1"/>
  <c r="Q137" i="13"/>
  <c r="R137" i="13" s="1"/>
  <c r="S137" i="13" s="1"/>
  <c r="T137" i="13"/>
  <c r="U137" i="13" s="1"/>
  <c r="V137" i="13" s="1"/>
  <c r="W137" i="13" s="1"/>
  <c r="T125" i="13"/>
  <c r="U125" i="13" s="1"/>
  <c r="V125" i="13" s="1"/>
  <c r="Q125" i="13"/>
  <c r="R125" i="13" s="1"/>
  <c r="S125" i="13" s="1"/>
  <c r="Q133" i="13"/>
  <c r="R133" i="13" s="1"/>
  <c r="S133" i="13" s="1"/>
  <c r="T133" i="13"/>
  <c r="U133" i="13" s="1"/>
  <c r="V133" i="13" s="1"/>
  <c r="W133" i="13" s="1"/>
  <c r="Q141" i="13"/>
  <c r="R141" i="13" s="1"/>
  <c r="S141" i="13" s="1"/>
  <c r="W141" i="13" s="1"/>
  <c r="T141" i="13"/>
  <c r="U141" i="13" s="1"/>
  <c r="V141" i="13" s="1"/>
  <c r="Q121" i="13"/>
  <c r="R121" i="13" s="1"/>
  <c r="S121" i="13" s="1"/>
  <c r="T121" i="13"/>
  <c r="U121" i="13" s="1"/>
  <c r="V121" i="13" s="1"/>
  <c r="W121" i="13" s="1"/>
  <c r="T113" i="13"/>
  <c r="U113" i="13" s="1"/>
  <c r="V113" i="13" s="1"/>
  <c r="Q113" i="13"/>
  <c r="R113" i="13" s="1"/>
  <c r="S113" i="13" s="1"/>
  <c r="T127" i="13"/>
  <c r="U127" i="13" s="1"/>
  <c r="V127" i="13" s="1"/>
  <c r="Q127" i="13"/>
  <c r="R127" i="13" s="1"/>
  <c r="S127" i="13" s="1"/>
  <c r="W127" i="13" s="1"/>
  <c r="T135" i="13"/>
  <c r="U135" i="13" s="1"/>
  <c r="V135" i="13" s="1"/>
  <c r="Q135" i="13"/>
  <c r="R135" i="13" s="1"/>
  <c r="S135" i="13" s="1"/>
  <c r="W165" i="13"/>
  <c r="W157" i="13"/>
  <c r="W150" i="13"/>
  <c r="W155" i="13"/>
  <c r="W170" i="13"/>
  <c r="W159" i="13"/>
  <c r="Q80" i="13"/>
  <c r="R80" i="13" s="1"/>
  <c r="S80" i="13" s="1"/>
  <c r="T80" i="13"/>
  <c r="U80" i="13" s="1"/>
  <c r="V80" i="13" s="1"/>
  <c r="T99" i="13"/>
  <c r="U99" i="13" s="1"/>
  <c r="V99" i="13" s="1"/>
  <c r="Q99" i="13"/>
  <c r="R99" i="13" s="1"/>
  <c r="S99" i="13" s="1"/>
  <c r="Q114" i="13"/>
  <c r="R114" i="13" s="1"/>
  <c r="S114" i="13" s="1"/>
  <c r="T114" i="13"/>
  <c r="U114" i="13" s="1"/>
  <c r="V114" i="13" s="1"/>
  <c r="T82" i="13"/>
  <c r="U82" i="13" s="1"/>
  <c r="V82" i="13" s="1"/>
  <c r="Q82" i="13"/>
  <c r="R82" i="13" s="1"/>
  <c r="S82" i="13" s="1"/>
  <c r="Q103" i="13"/>
  <c r="R103" i="13" s="1"/>
  <c r="S103" i="13" s="1"/>
  <c r="T103" i="13"/>
  <c r="U103" i="13" s="1"/>
  <c r="V103" i="13" s="1"/>
  <c r="Q115" i="13"/>
  <c r="R115" i="13" s="1"/>
  <c r="S115" i="13" s="1"/>
  <c r="T115" i="13"/>
  <c r="U115" i="13" s="1"/>
  <c r="V115" i="13" s="1"/>
  <c r="T117" i="13"/>
  <c r="U117" i="13" s="1"/>
  <c r="V117" i="13" s="1"/>
  <c r="Q117" i="13"/>
  <c r="R117" i="13" s="1"/>
  <c r="S117" i="13" s="1"/>
  <c r="T101" i="13"/>
  <c r="U101" i="13" s="1"/>
  <c r="V101" i="13" s="1"/>
  <c r="Q101" i="13"/>
  <c r="R101" i="13" s="1"/>
  <c r="S101" i="13" s="1"/>
  <c r="W101" i="13" s="1"/>
  <c r="T105" i="13"/>
  <c r="U105" i="13" s="1"/>
  <c r="V105" i="13" s="1"/>
  <c r="Q105" i="13"/>
  <c r="R105" i="13" s="1"/>
  <c r="S105" i="13" s="1"/>
  <c r="Q90" i="13"/>
  <c r="R90" i="13" s="1"/>
  <c r="S90" i="13" s="1"/>
  <c r="T90" i="13"/>
  <c r="U90" i="13" s="1"/>
  <c r="V90" i="13" s="1"/>
  <c r="Q107" i="13"/>
  <c r="R107" i="13" s="1"/>
  <c r="S107" i="13" s="1"/>
  <c r="T107" i="13"/>
  <c r="U107" i="13" s="1"/>
  <c r="V107" i="13" s="1"/>
  <c r="Q86" i="13"/>
  <c r="R86" i="13" s="1"/>
  <c r="S86" i="13" s="1"/>
  <c r="T86" i="13"/>
  <c r="U86" i="13" s="1"/>
  <c r="V86" i="13" s="1"/>
  <c r="Q92" i="13"/>
  <c r="R92" i="13" s="1"/>
  <c r="S92" i="13" s="1"/>
  <c r="T92" i="13"/>
  <c r="U92" i="13" s="1"/>
  <c r="V92" i="13" s="1"/>
  <c r="Q109" i="13"/>
  <c r="R109" i="13" s="1"/>
  <c r="S109" i="13" s="1"/>
  <c r="T109" i="13"/>
  <c r="U109" i="13" s="1"/>
  <c r="V109" i="13" s="1"/>
  <c r="W109" i="13" s="1"/>
  <c r="T96" i="13"/>
  <c r="U96" i="13" s="1"/>
  <c r="V96" i="13" s="1"/>
  <c r="Q96" i="13"/>
  <c r="R96" i="13" s="1"/>
  <c r="S96" i="13" s="1"/>
  <c r="T111" i="13"/>
  <c r="U111" i="13" s="1"/>
  <c r="V111" i="13" s="1"/>
  <c r="Q111" i="13"/>
  <c r="R111" i="13" s="1"/>
  <c r="S111" i="13" s="1"/>
  <c r="Q84" i="13"/>
  <c r="R84" i="13" s="1"/>
  <c r="S84" i="13" s="1"/>
  <c r="T84" i="13"/>
  <c r="U84" i="13" s="1"/>
  <c r="V84" i="13" s="1"/>
  <c r="Q88" i="13"/>
  <c r="R88" i="13" s="1"/>
  <c r="S88" i="13" s="1"/>
  <c r="T88" i="13"/>
  <c r="U88" i="13" s="1"/>
  <c r="V88" i="13" s="1"/>
  <c r="T78" i="13"/>
  <c r="U78" i="13" s="1"/>
  <c r="V78" i="13" s="1"/>
  <c r="Q78" i="13"/>
  <c r="R78" i="13" s="1"/>
  <c r="S78" i="13" s="1"/>
  <c r="T94" i="13"/>
  <c r="U94" i="13" s="1"/>
  <c r="V94" i="13" s="1"/>
  <c r="Q94" i="13"/>
  <c r="R94" i="13" s="1"/>
  <c r="S94" i="13" s="1"/>
  <c r="W94" i="13" s="1"/>
  <c r="Q63" i="13"/>
  <c r="R63" i="13" s="1"/>
  <c r="S63" i="13" s="1"/>
  <c r="T63" i="13"/>
  <c r="U63" i="13" s="1"/>
  <c r="V63" i="13" s="1"/>
  <c r="Q65" i="13"/>
  <c r="R65" i="13" s="1"/>
  <c r="S65" i="13" s="1"/>
  <c r="T65" i="13"/>
  <c r="U65" i="13" s="1"/>
  <c r="V65" i="13" s="1"/>
  <c r="T59" i="13"/>
  <c r="U59" i="13" s="1"/>
  <c r="V59" i="13" s="1"/>
  <c r="Q59" i="13"/>
  <c r="R59" i="13" s="1"/>
  <c r="S59" i="13" s="1"/>
  <c r="Q61" i="13"/>
  <c r="R61" i="13" s="1"/>
  <c r="S61" i="13" s="1"/>
  <c r="T61" i="13"/>
  <c r="U61" i="13" s="1"/>
  <c r="V61" i="13" s="1"/>
  <c r="Q68" i="13"/>
  <c r="R68" i="13" s="1"/>
  <c r="S68" i="13" s="1"/>
  <c r="T68" i="13"/>
  <c r="U68" i="13" s="1"/>
  <c r="V68" i="13" s="1"/>
  <c r="T70" i="13"/>
  <c r="U70" i="13" s="1"/>
  <c r="V70" i="13" s="1"/>
  <c r="Q70" i="13"/>
  <c r="R70" i="13" s="1"/>
  <c r="S70" i="13" s="1"/>
  <c r="W70" i="13" s="1"/>
  <c r="T72" i="13"/>
  <c r="U72" i="13" s="1"/>
  <c r="V72" i="13" s="1"/>
  <c r="Q72" i="13"/>
  <c r="R72" i="13" s="1"/>
  <c r="S72" i="13" s="1"/>
  <c r="Q56" i="13"/>
  <c r="R56" i="13" s="1"/>
  <c r="S56" i="13" s="1"/>
  <c r="T56" i="13"/>
  <c r="U56" i="13" s="1"/>
  <c r="V56" i="13" s="1"/>
  <c r="T52" i="13"/>
  <c r="U52" i="13" s="1"/>
  <c r="V52" i="13" s="1"/>
  <c r="Q52" i="13"/>
  <c r="R52" i="13" s="1"/>
  <c r="S52" i="13" s="1"/>
  <c r="T54" i="13"/>
  <c r="U54" i="13" s="1"/>
  <c r="V54" i="13" s="1"/>
  <c r="Q54" i="13"/>
  <c r="R54" i="13" s="1"/>
  <c r="S54" i="13" s="1"/>
  <c r="W54" i="13" s="1"/>
  <c r="T50" i="13"/>
  <c r="U50" i="13" s="1"/>
  <c r="V50" i="13" s="1"/>
  <c r="Q50" i="13"/>
  <c r="R50" i="13" s="1"/>
  <c r="S50" i="13" s="1"/>
  <c r="T48" i="13"/>
  <c r="U48" i="13" s="1"/>
  <c r="V48" i="13" s="1"/>
  <c r="Q48" i="13"/>
  <c r="R48" i="13" s="1"/>
  <c r="S48" i="13" s="1"/>
  <c r="K44" i="13"/>
  <c r="I44" i="13"/>
  <c r="F44" i="13"/>
  <c r="K42" i="13"/>
  <c r="I42" i="13"/>
  <c r="F42" i="13"/>
  <c r="K40" i="13"/>
  <c r="I40" i="13"/>
  <c r="F40" i="13"/>
  <c r="K38" i="13"/>
  <c r="I38" i="13"/>
  <c r="F38" i="13"/>
  <c r="K36" i="13"/>
  <c r="I36" i="13"/>
  <c r="F36" i="13"/>
  <c r="K34" i="13"/>
  <c r="I34" i="13"/>
  <c r="F34" i="13"/>
  <c r="K32" i="13"/>
  <c r="I32" i="13"/>
  <c r="F32" i="13"/>
  <c r="K27" i="13"/>
  <c r="I27" i="13"/>
  <c r="F27" i="13"/>
  <c r="K25" i="13"/>
  <c r="I25" i="13"/>
  <c r="F25" i="13"/>
  <c r="K23" i="13"/>
  <c r="I23" i="13"/>
  <c r="F23" i="13"/>
  <c r="K21" i="13"/>
  <c r="I21" i="13"/>
  <c r="F21" i="13"/>
  <c r="K19" i="13"/>
  <c r="I19" i="13"/>
  <c r="F19" i="13"/>
  <c r="K17" i="13"/>
  <c r="I17" i="13"/>
  <c r="F17" i="13"/>
  <c r="K15" i="13"/>
  <c r="I15" i="13"/>
  <c r="F15" i="13"/>
  <c r="K13" i="13"/>
  <c r="I13" i="13"/>
  <c r="F13" i="13"/>
  <c r="T13" i="13" s="1"/>
  <c r="F14" i="13"/>
  <c r="W50" i="13" l="1"/>
  <c r="W72" i="13"/>
  <c r="W59" i="13"/>
  <c r="W84" i="13"/>
  <c r="W96" i="13"/>
  <c r="W135" i="13"/>
  <c r="W113" i="13"/>
  <c r="W125" i="13"/>
  <c r="W129" i="13"/>
  <c r="W139" i="13"/>
  <c r="W123" i="13"/>
  <c r="W117" i="13"/>
  <c r="W105" i="13"/>
  <c r="W80" i="13"/>
  <c r="W78" i="13"/>
  <c r="W111" i="13"/>
  <c r="W107" i="13"/>
  <c r="W114" i="13"/>
  <c r="W82" i="13"/>
  <c r="W86" i="13"/>
  <c r="W88" i="13"/>
  <c r="W90" i="13"/>
  <c r="W115" i="13"/>
  <c r="W99" i="13"/>
  <c r="W92" i="13"/>
  <c r="W103" i="13"/>
  <c r="W65" i="13"/>
  <c r="W61" i="13"/>
  <c r="W68" i="13"/>
  <c r="W63" i="13"/>
  <c r="W52" i="13"/>
  <c r="W48" i="13"/>
  <c r="W56" i="13"/>
  <c r="Q40" i="13"/>
  <c r="R40" i="13" s="1"/>
  <c r="S40" i="13" s="1"/>
  <c r="T40" i="13"/>
  <c r="U40" i="13" s="1"/>
  <c r="V40" i="13" s="1"/>
  <c r="Q34" i="13"/>
  <c r="R34" i="13" s="1"/>
  <c r="S34" i="13" s="1"/>
  <c r="T34" i="13"/>
  <c r="U34" i="13" s="1"/>
  <c r="V34" i="13" s="1"/>
  <c r="Q42" i="13"/>
  <c r="R42" i="13" s="1"/>
  <c r="S42" i="13" s="1"/>
  <c r="T42" i="13"/>
  <c r="U42" i="13" s="1"/>
  <c r="V42" i="13" s="1"/>
  <c r="Q36" i="13"/>
  <c r="R36" i="13" s="1"/>
  <c r="S36" i="13" s="1"/>
  <c r="T36" i="13"/>
  <c r="U36" i="13" s="1"/>
  <c r="V36" i="13" s="1"/>
  <c r="Q32" i="13"/>
  <c r="R32" i="13" s="1"/>
  <c r="S32" i="13" s="1"/>
  <c r="T32" i="13"/>
  <c r="U32" i="13" s="1"/>
  <c r="V32" i="13" s="1"/>
  <c r="T38" i="13"/>
  <c r="U38" i="13" s="1"/>
  <c r="V38" i="13" s="1"/>
  <c r="Q38" i="13"/>
  <c r="R38" i="13" s="1"/>
  <c r="S38" i="13" s="1"/>
  <c r="Q44" i="13"/>
  <c r="R44" i="13" s="1"/>
  <c r="S44" i="13" s="1"/>
  <c r="T44" i="13"/>
  <c r="U44" i="13" s="1"/>
  <c r="V44" i="13" s="1"/>
  <c r="T25" i="13"/>
  <c r="U25" i="13" s="1"/>
  <c r="V25" i="13" s="1"/>
  <c r="Q25" i="13"/>
  <c r="R25" i="13" s="1"/>
  <c r="S25" i="13" s="1"/>
  <c r="T21" i="13"/>
  <c r="U21" i="13" s="1"/>
  <c r="V21" i="13" s="1"/>
  <c r="Q21" i="13"/>
  <c r="R21" i="13" s="1"/>
  <c r="S21" i="13" s="1"/>
  <c r="T27" i="13"/>
  <c r="U27" i="13" s="1"/>
  <c r="V27" i="13" s="1"/>
  <c r="Q27" i="13"/>
  <c r="R27" i="13" s="1"/>
  <c r="S27" i="13" s="1"/>
  <c r="T23" i="13"/>
  <c r="U23" i="13" s="1"/>
  <c r="V23" i="13" s="1"/>
  <c r="Q23" i="13"/>
  <c r="R23" i="13" s="1"/>
  <c r="S23" i="13" s="1"/>
  <c r="T19" i="13"/>
  <c r="U19" i="13" s="1"/>
  <c r="V19" i="13" s="1"/>
  <c r="Q19" i="13"/>
  <c r="R19" i="13" s="1"/>
  <c r="S19" i="13" s="1"/>
  <c r="Q17" i="13"/>
  <c r="R17" i="13" s="1"/>
  <c r="T17" i="13"/>
  <c r="Q15" i="13"/>
  <c r="T15" i="13"/>
  <c r="W38" i="13" l="1"/>
  <c r="W34" i="13"/>
  <c r="W27" i="13"/>
  <c r="W25" i="13"/>
  <c r="W36" i="13"/>
  <c r="W44" i="13"/>
  <c r="W42" i="13"/>
  <c r="W32" i="13"/>
  <c r="W40" i="13"/>
  <c r="W21" i="13"/>
  <c r="W19" i="13"/>
  <c r="W23" i="13"/>
  <c r="W177" i="13"/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11" i="10"/>
  <c r="J41" i="16"/>
  <c r="J37" i="16"/>
  <c r="J35" i="16"/>
  <c r="J32" i="16"/>
  <c r="J27" i="16"/>
  <c r="J25" i="16"/>
  <c r="J21" i="16"/>
  <c r="J19" i="16"/>
  <c r="J43" i="16" s="1"/>
  <c r="J16" i="16"/>
  <c r="J13" i="16"/>
  <c r="J10" i="16"/>
  <c r="J6" i="16"/>
  <c r="F91" i="13" l="1"/>
  <c r="F93" i="13"/>
  <c r="F95" i="13"/>
  <c r="T95" i="13" l="1"/>
  <c r="U95" i="13" s="1"/>
  <c r="V95" i="13" s="1"/>
  <c r="Q95" i="13"/>
  <c r="R95" i="13" s="1"/>
  <c r="S95" i="13" s="1"/>
  <c r="T93" i="13"/>
  <c r="U93" i="13" s="1"/>
  <c r="V93" i="13" s="1"/>
  <c r="Q93" i="13"/>
  <c r="R93" i="13" s="1"/>
  <c r="S93" i="13" s="1"/>
  <c r="Q91" i="13"/>
  <c r="R91" i="13" s="1"/>
  <c r="S91" i="13" s="1"/>
  <c r="T91" i="13"/>
  <c r="U91" i="13" s="1"/>
  <c r="V91" i="13" s="1"/>
  <c r="W93" i="13" l="1"/>
  <c r="W95" i="13"/>
  <c r="W91" i="13"/>
  <c r="K35" i="13" l="1"/>
  <c r="I35" i="13"/>
  <c r="F35" i="13"/>
  <c r="T35" i="13" l="1"/>
  <c r="U35" i="13" s="1"/>
  <c r="V35" i="13" s="1"/>
  <c r="Q35" i="13"/>
  <c r="R35" i="13" s="1"/>
  <c r="S35" i="13" s="1"/>
  <c r="F174" i="13"/>
  <c r="K174" i="13"/>
  <c r="I174" i="13"/>
  <c r="K172" i="13"/>
  <c r="I172" i="13"/>
  <c r="F172" i="13"/>
  <c r="Q172" i="13" l="1"/>
  <c r="R172" i="13" s="1"/>
  <c r="S172" i="13" s="1"/>
  <c r="W172" i="13" s="1"/>
  <c r="T172" i="13"/>
  <c r="U172" i="13" s="1"/>
  <c r="V172" i="13" s="1"/>
  <c r="Q174" i="13"/>
  <c r="R174" i="13" s="1"/>
  <c r="S174" i="13" s="1"/>
  <c r="T174" i="13"/>
  <c r="U174" i="13" s="1"/>
  <c r="V174" i="13" s="1"/>
  <c r="W35" i="13"/>
  <c r="F140" i="13"/>
  <c r="F138" i="13"/>
  <c r="F112" i="13"/>
  <c r="F87" i="13"/>
  <c r="F89" i="13"/>
  <c r="F71" i="13"/>
  <c r="F58" i="13"/>
  <c r="F60" i="13"/>
  <c r="F55" i="13"/>
  <c r="F45" i="13"/>
  <c r="F28" i="13"/>
  <c r="W174" i="13" l="1"/>
  <c r="Q138" i="13"/>
  <c r="R138" i="13" s="1"/>
  <c r="S138" i="13" s="1"/>
  <c r="T138" i="13"/>
  <c r="U138" i="13" s="1"/>
  <c r="V138" i="13" s="1"/>
  <c r="Q140" i="13"/>
  <c r="R140" i="13" s="1"/>
  <c r="S140" i="13" s="1"/>
  <c r="T140" i="13"/>
  <c r="U140" i="13" s="1"/>
  <c r="V140" i="13" s="1"/>
  <c r="T112" i="13"/>
  <c r="U112" i="13" s="1"/>
  <c r="V112" i="13" s="1"/>
  <c r="Q112" i="13"/>
  <c r="R112" i="13" s="1"/>
  <c r="S112" i="13" s="1"/>
  <c r="W112" i="13" s="1"/>
  <c r="Q89" i="13"/>
  <c r="R89" i="13" s="1"/>
  <c r="S89" i="13" s="1"/>
  <c r="T89" i="13"/>
  <c r="U89" i="13" s="1"/>
  <c r="V89" i="13" s="1"/>
  <c r="Q87" i="13"/>
  <c r="R87" i="13" s="1"/>
  <c r="S87" i="13" s="1"/>
  <c r="T87" i="13"/>
  <c r="U87" i="13" s="1"/>
  <c r="V87" i="13" s="1"/>
  <c r="T58" i="13"/>
  <c r="U58" i="13" s="1"/>
  <c r="V58" i="13" s="1"/>
  <c r="Q58" i="13"/>
  <c r="R58" i="13" s="1"/>
  <c r="S58" i="13" s="1"/>
  <c r="Q71" i="13"/>
  <c r="R71" i="13" s="1"/>
  <c r="S71" i="13" s="1"/>
  <c r="T71" i="13"/>
  <c r="U71" i="13" s="1"/>
  <c r="V71" i="13" s="1"/>
  <c r="Q60" i="13"/>
  <c r="R60" i="13" s="1"/>
  <c r="S60" i="13" s="1"/>
  <c r="T60" i="13"/>
  <c r="U60" i="13" s="1"/>
  <c r="V60" i="13" s="1"/>
  <c r="Q55" i="13"/>
  <c r="R55" i="13" s="1"/>
  <c r="S55" i="13" s="1"/>
  <c r="T55" i="13"/>
  <c r="U55" i="13" s="1"/>
  <c r="V55" i="13" s="1"/>
  <c r="Q45" i="13"/>
  <c r="R45" i="13" s="1"/>
  <c r="S45" i="13" s="1"/>
  <c r="T45" i="13"/>
  <c r="U45" i="13" s="1"/>
  <c r="V45" i="13" s="1"/>
  <c r="T28" i="13"/>
  <c r="U28" i="13" s="1"/>
  <c r="V28" i="13" s="1"/>
  <c r="Q28" i="13"/>
  <c r="R28" i="13" s="1"/>
  <c r="S28" i="13" s="1"/>
  <c r="W138" i="13" l="1"/>
  <c r="W58" i="13"/>
  <c r="W140" i="13"/>
  <c r="W89" i="13"/>
  <c r="W87" i="13"/>
  <c r="W71" i="13"/>
  <c r="W60" i="13"/>
  <c r="W55" i="13"/>
  <c r="W45" i="13"/>
  <c r="W28" i="13"/>
  <c r="F64" i="13" l="1"/>
  <c r="T64" i="13" l="1"/>
  <c r="U64" i="13" s="1"/>
  <c r="V64" i="13" s="1"/>
  <c r="Q64" i="13"/>
  <c r="R64" i="13" s="1"/>
  <c r="S64" i="13" s="1"/>
  <c r="I16" i="13"/>
  <c r="I14" i="13"/>
  <c r="W64" i="13" l="1"/>
  <c r="F124" i="13"/>
  <c r="Q124" i="13" l="1"/>
  <c r="R124" i="13" s="1"/>
  <c r="S124" i="13" s="1"/>
  <c r="T124" i="13"/>
  <c r="U124" i="13" s="1"/>
  <c r="V124" i="13" s="1"/>
  <c r="F110" i="13"/>
  <c r="I28" i="13"/>
  <c r="K28" i="13"/>
  <c r="K45" i="13"/>
  <c r="I45" i="13"/>
  <c r="F43" i="13"/>
  <c r="W124" i="13" l="1"/>
  <c r="Q110" i="13"/>
  <c r="R110" i="13" s="1"/>
  <c r="S110" i="13" s="1"/>
  <c r="T110" i="13"/>
  <c r="U110" i="13" s="1"/>
  <c r="V110" i="13" s="1"/>
  <c r="T43" i="13"/>
  <c r="U43" i="13" s="1"/>
  <c r="V43" i="13" s="1"/>
  <c r="Q43" i="13"/>
  <c r="R43" i="13" s="1"/>
  <c r="S43" i="13" s="1"/>
  <c r="F16" i="13"/>
  <c r="K14" i="13"/>
  <c r="F77" i="13"/>
  <c r="F79" i="13"/>
  <c r="F81" i="13"/>
  <c r="F83" i="13"/>
  <c r="F85" i="13"/>
  <c r="F98" i="13"/>
  <c r="F100" i="13"/>
  <c r="F102" i="13"/>
  <c r="F104" i="13"/>
  <c r="F106" i="13"/>
  <c r="F108" i="13"/>
  <c r="F116" i="13"/>
  <c r="F120" i="13"/>
  <c r="F122" i="13"/>
  <c r="F126" i="13"/>
  <c r="F128" i="13"/>
  <c r="F130" i="13"/>
  <c r="F132" i="13"/>
  <c r="F134" i="13"/>
  <c r="F136" i="13"/>
  <c r="K77" i="13"/>
  <c r="I77" i="13"/>
  <c r="K53" i="13"/>
  <c r="I53" i="13"/>
  <c r="K51" i="13"/>
  <c r="I51" i="13"/>
  <c r="K49" i="13"/>
  <c r="I49" i="13"/>
  <c r="K47" i="13"/>
  <c r="I47" i="13"/>
  <c r="K16" i="13"/>
  <c r="K18" i="13"/>
  <c r="K20" i="13"/>
  <c r="K22" i="13"/>
  <c r="K24" i="13"/>
  <c r="K26" i="13"/>
  <c r="I18" i="13"/>
  <c r="I20" i="13"/>
  <c r="I22" i="13"/>
  <c r="I24" i="13"/>
  <c r="I26" i="13"/>
  <c r="F41" i="13"/>
  <c r="F31" i="13"/>
  <c r="F33" i="13"/>
  <c r="F37" i="13"/>
  <c r="F39" i="13"/>
  <c r="F30" i="13"/>
  <c r="K31" i="13"/>
  <c r="K33" i="13"/>
  <c r="K37" i="13"/>
  <c r="K39" i="13"/>
  <c r="K41" i="13"/>
  <c r="K43" i="13"/>
  <c r="I31" i="13"/>
  <c r="I33" i="13"/>
  <c r="I37" i="13"/>
  <c r="I39" i="13"/>
  <c r="I41" i="13"/>
  <c r="I43" i="13"/>
  <c r="F18" i="13"/>
  <c r="F20" i="13"/>
  <c r="F22" i="13"/>
  <c r="F24" i="13"/>
  <c r="F26" i="13"/>
  <c r="F49" i="13"/>
  <c r="F51" i="13"/>
  <c r="F53" i="13"/>
  <c r="F62" i="13"/>
  <c r="F69" i="13"/>
  <c r="F67" i="13"/>
  <c r="F47" i="13"/>
  <c r="N111" i="14"/>
  <c r="L111" i="14"/>
  <c r="G111" i="14"/>
  <c r="K110" i="14"/>
  <c r="I110" i="14"/>
  <c r="F110" i="14"/>
  <c r="Q109" i="14" s="1"/>
  <c r="R109" i="14" s="1"/>
  <c r="S109" i="14" s="1"/>
  <c r="P109" i="14"/>
  <c r="K109" i="14"/>
  <c r="I109" i="14"/>
  <c r="F109" i="14"/>
  <c r="P108" i="14"/>
  <c r="K108" i="14"/>
  <c r="I108" i="14"/>
  <c r="F108" i="14"/>
  <c r="T108" i="14" s="1"/>
  <c r="U108" i="14" s="1"/>
  <c r="V108" i="14" s="1"/>
  <c r="P107" i="14"/>
  <c r="K107" i="14"/>
  <c r="I107" i="14"/>
  <c r="F107" i="14"/>
  <c r="Q107" i="14" s="1"/>
  <c r="R107" i="14" s="1"/>
  <c r="S107" i="14" s="1"/>
  <c r="P106" i="14"/>
  <c r="K106" i="14"/>
  <c r="I106" i="14"/>
  <c r="F106" i="14"/>
  <c r="T106" i="14" s="1"/>
  <c r="U106" i="14" s="1"/>
  <c r="V106" i="14" s="1"/>
  <c r="P105" i="14"/>
  <c r="K105" i="14"/>
  <c r="I105" i="14"/>
  <c r="F105" i="14"/>
  <c r="Q105" i="14" s="1"/>
  <c r="R105" i="14" s="1"/>
  <c r="S105" i="14" s="1"/>
  <c r="P104" i="14"/>
  <c r="K104" i="14"/>
  <c r="I104" i="14"/>
  <c r="F104" i="14"/>
  <c r="T104" i="14" s="1"/>
  <c r="U104" i="14" s="1"/>
  <c r="V104" i="14" s="1"/>
  <c r="P103" i="14"/>
  <c r="K103" i="14"/>
  <c r="I103" i="14"/>
  <c r="F103" i="14"/>
  <c r="Q103" i="14" s="1"/>
  <c r="R103" i="14" s="1"/>
  <c r="S103" i="14" s="1"/>
  <c r="P102" i="14"/>
  <c r="K102" i="14"/>
  <c r="I102" i="14"/>
  <c r="F102" i="14"/>
  <c r="T102" i="14" s="1"/>
  <c r="U102" i="14" s="1"/>
  <c r="V102" i="14" s="1"/>
  <c r="P101" i="14"/>
  <c r="K101" i="14"/>
  <c r="I101" i="14"/>
  <c r="F101" i="14"/>
  <c r="Q101" i="14" s="1"/>
  <c r="R101" i="14" s="1"/>
  <c r="S101" i="14" s="1"/>
  <c r="P100" i="14"/>
  <c r="K100" i="14"/>
  <c r="I100" i="14"/>
  <c r="F100" i="14"/>
  <c r="T100" i="14" s="1"/>
  <c r="U100" i="14" s="1"/>
  <c r="V100" i="14" s="1"/>
  <c r="P99" i="14"/>
  <c r="K99" i="14"/>
  <c r="I99" i="14"/>
  <c r="F99" i="14"/>
  <c r="Q99" i="14" s="1"/>
  <c r="R99" i="14" s="1"/>
  <c r="S99" i="14" s="1"/>
  <c r="P98" i="14"/>
  <c r="K98" i="14"/>
  <c r="I98" i="14"/>
  <c r="F98" i="14"/>
  <c r="T98" i="14" s="1"/>
  <c r="U98" i="14" s="1"/>
  <c r="V98" i="14" s="1"/>
  <c r="P96" i="14"/>
  <c r="K96" i="14"/>
  <c r="I96" i="14"/>
  <c r="F96" i="14"/>
  <c r="Q96" i="14" s="1"/>
  <c r="R96" i="14" s="1"/>
  <c r="S96" i="14" s="1"/>
  <c r="P95" i="14"/>
  <c r="K95" i="14"/>
  <c r="I95" i="14"/>
  <c r="F95" i="14"/>
  <c r="T95" i="14" s="1"/>
  <c r="U95" i="14" s="1"/>
  <c r="V95" i="14" s="1"/>
  <c r="K94" i="14"/>
  <c r="I94" i="14"/>
  <c r="F94" i="14"/>
  <c r="K93" i="14"/>
  <c r="I93" i="14"/>
  <c r="F93" i="14"/>
  <c r="P92" i="14"/>
  <c r="K92" i="14"/>
  <c r="I92" i="14"/>
  <c r="F92" i="14"/>
  <c r="T92" i="14" s="1"/>
  <c r="U92" i="14" s="1"/>
  <c r="V92" i="14" s="1"/>
  <c r="P91" i="14"/>
  <c r="K91" i="14"/>
  <c r="I91" i="14"/>
  <c r="F91" i="14"/>
  <c r="T91" i="14" s="1"/>
  <c r="U91" i="14" s="1"/>
  <c r="V91" i="14" s="1"/>
  <c r="P90" i="14"/>
  <c r="K90" i="14"/>
  <c r="I90" i="14"/>
  <c r="F90" i="14"/>
  <c r="Q90" i="14" s="1"/>
  <c r="R90" i="14" s="1"/>
  <c r="S90" i="14" s="1"/>
  <c r="K89" i="14"/>
  <c r="I89" i="14"/>
  <c r="F89" i="14"/>
  <c r="K88" i="14"/>
  <c r="I88" i="14"/>
  <c r="F88" i="14"/>
  <c r="P87" i="14"/>
  <c r="K87" i="14"/>
  <c r="I87" i="14"/>
  <c r="F87" i="14"/>
  <c r="T87" i="14" s="1"/>
  <c r="U87" i="14" s="1"/>
  <c r="V87" i="14" s="1"/>
  <c r="O86" i="14"/>
  <c r="O111" i="14" s="1"/>
  <c r="M86" i="14"/>
  <c r="K86" i="14"/>
  <c r="I86" i="14"/>
  <c r="F86" i="14"/>
  <c r="P85" i="14"/>
  <c r="K85" i="14"/>
  <c r="I85" i="14"/>
  <c r="F85" i="14"/>
  <c r="T85" i="14" s="1"/>
  <c r="U85" i="14" s="1"/>
  <c r="V85" i="14" s="1"/>
  <c r="M84" i="14"/>
  <c r="P84" i="14" s="1"/>
  <c r="K84" i="14"/>
  <c r="I84" i="14"/>
  <c r="F84" i="14"/>
  <c r="T84" i="14" s="1"/>
  <c r="U84" i="14" s="1"/>
  <c r="V84" i="14" s="1"/>
  <c r="P83" i="14"/>
  <c r="K83" i="14"/>
  <c r="I83" i="14"/>
  <c r="F83" i="14"/>
  <c r="T83" i="14" s="1"/>
  <c r="U83" i="14" s="1"/>
  <c r="V83" i="14" s="1"/>
  <c r="P82" i="14"/>
  <c r="K82" i="14"/>
  <c r="I82" i="14"/>
  <c r="F82" i="14"/>
  <c r="T82" i="14" s="1"/>
  <c r="U82" i="14" s="1"/>
  <c r="V82" i="14" s="1"/>
  <c r="P81" i="14"/>
  <c r="K81" i="14"/>
  <c r="I81" i="14"/>
  <c r="F81" i="14"/>
  <c r="Q81" i="14" s="1"/>
  <c r="R81" i="14" s="1"/>
  <c r="S81" i="14" s="1"/>
  <c r="P80" i="14"/>
  <c r="K80" i="14"/>
  <c r="I80" i="14"/>
  <c r="F80" i="14"/>
  <c r="T80" i="14" s="1"/>
  <c r="U80" i="14" s="1"/>
  <c r="V80" i="14" s="1"/>
  <c r="P79" i="14"/>
  <c r="K79" i="14"/>
  <c r="I79" i="14"/>
  <c r="F79" i="14"/>
  <c r="Q79" i="14" s="1"/>
  <c r="R79" i="14" s="1"/>
  <c r="S79" i="14" s="1"/>
  <c r="P77" i="14"/>
  <c r="K77" i="14"/>
  <c r="I77" i="14"/>
  <c r="F77" i="14"/>
  <c r="T77" i="14" s="1"/>
  <c r="U77" i="14" s="1"/>
  <c r="V77" i="14" s="1"/>
  <c r="P76" i="14"/>
  <c r="K76" i="14"/>
  <c r="I76" i="14"/>
  <c r="F76" i="14"/>
  <c r="T76" i="14" s="1"/>
  <c r="U76" i="14" s="1"/>
  <c r="V76" i="14" s="1"/>
  <c r="P75" i="14"/>
  <c r="K75" i="14"/>
  <c r="I75" i="14"/>
  <c r="F75" i="14"/>
  <c r="T75" i="14" s="1"/>
  <c r="U75" i="14" s="1"/>
  <c r="V75" i="14" s="1"/>
  <c r="P74" i="14"/>
  <c r="K74" i="14"/>
  <c r="I74" i="14"/>
  <c r="F74" i="14"/>
  <c r="T74" i="14" s="1"/>
  <c r="U74" i="14" s="1"/>
  <c r="V74" i="14" s="1"/>
  <c r="P73" i="14"/>
  <c r="K73" i="14"/>
  <c r="I73" i="14"/>
  <c r="F73" i="14"/>
  <c r="T73" i="14" s="1"/>
  <c r="U73" i="14" s="1"/>
  <c r="V73" i="14" s="1"/>
  <c r="P72" i="14"/>
  <c r="K72" i="14"/>
  <c r="I72" i="14"/>
  <c r="F72" i="14"/>
  <c r="T72" i="14" s="1"/>
  <c r="U72" i="14" s="1"/>
  <c r="V72" i="14" s="1"/>
  <c r="M71" i="14"/>
  <c r="P71" i="14" s="1"/>
  <c r="K71" i="14"/>
  <c r="I71" i="14"/>
  <c r="F71" i="14"/>
  <c r="T71" i="14" s="1"/>
  <c r="U71" i="14" s="1"/>
  <c r="V71" i="14" s="1"/>
  <c r="M70" i="14"/>
  <c r="K70" i="14"/>
  <c r="I70" i="14"/>
  <c r="F70" i="14"/>
  <c r="T70" i="14" s="1"/>
  <c r="U70" i="14" s="1"/>
  <c r="V70" i="14" s="1"/>
  <c r="P69" i="14"/>
  <c r="K69" i="14"/>
  <c r="I69" i="14"/>
  <c r="F69" i="14"/>
  <c r="Q69" i="14" s="1"/>
  <c r="R69" i="14" s="1"/>
  <c r="S69" i="14" s="1"/>
  <c r="P68" i="14"/>
  <c r="K68" i="14"/>
  <c r="I68" i="14"/>
  <c r="F68" i="14"/>
  <c r="Q68" i="14" s="1"/>
  <c r="R68" i="14" s="1"/>
  <c r="S68" i="14" s="1"/>
  <c r="P67" i="14"/>
  <c r="K67" i="14"/>
  <c r="I67" i="14"/>
  <c r="F67" i="14"/>
  <c r="T67" i="14" s="1"/>
  <c r="U67" i="14" s="1"/>
  <c r="V67" i="14" s="1"/>
  <c r="T65" i="14"/>
  <c r="U65" i="14" s="1"/>
  <c r="V65" i="14" s="1"/>
  <c r="Q65" i="14"/>
  <c r="R65" i="14" s="1"/>
  <c r="S65" i="14" s="1"/>
  <c r="P65" i="14"/>
  <c r="K65" i="14"/>
  <c r="I65" i="14"/>
  <c r="P64" i="14"/>
  <c r="K64" i="14"/>
  <c r="I64" i="14"/>
  <c r="F64" i="14"/>
  <c r="Q64" i="14" s="1"/>
  <c r="R64" i="14" s="1"/>
  <c r="S64" i="14" s="1"/>
  <c r="P63" i="14"/>
  <c r="K63" i="14"/>
  <c r="I63" i="14"/>
  <c r="F63" i="14"/>
  <c r="T63" i="14" s="1"/>
  <c r="U63" i="14" s="1"/>
  <c r="V63" i="14" s="1"/>
  <c r="P62" i="14"/>
  <c r="K62" i="14"/>
  <c r="I62" i="14"/>
  <c r="F62" i="14"/>
  <c r="T62" i="14" s="1"/>
  <c r="O58" i="14"/>
  <c r="N58" i="14"/>
  <c r="M58" i="14"/>
  <c r="L58" i="14"/>
  <c r="G58" i="14"/>
  <c r="K57" i="14"/>
  <c r="I57" i="14"/>
  <c r="F57" i="14"/>
  <c r="P56" i="14"/>
  <c r="K56" i="14"/>
  <c r="I56" i="14"/>
  <c r="F56" i="14"/>
  <c r="Q56" i="14" s="1"/>
  <c r="R56" i="14" s="1"/>
  <c r="S56" i="14" s="1"/>
  <c r="P55" i="14"/>
  <c r="K55" i="14"/>
  <c r="I55" i="14"/>
  <c r="F55" i="14"/>
  <c r="T55" i="14" s="1"/>
  <c r="U55" i="14" s="1"/>
  <c r="V55" i="14" s="1"/>
  <c r="K54" i="14"/>
  <c r="I54" i="14"/>
  <c r="F54" i="14"/>
  <c r="P53" i="14"/>
  <c r="K53" i="14"/>
  <c r="I53" i="14"/>
  <c r="F53" i="14"/>
  <c r="T53" i="14" s="1"/>
  <c r="U53" i="14" s="1"/>
  <c r="V53" i="14" s="1"/>
  <c r="K51" i="14"/>
  <c r="I51" i="14"/>
  <c r="T50" i="14"/>
  <c r="U50" i="14" s="1"/>
  <c r="V50" i="14" s="1"/>
  <c r="Q50" i="14"/>
  <c r="R50" i="14" s="1"/>
  <c r="S50" i="14" s="1"/>
  <c r="P50" i="14"/>
  <c r="K50" i="14"/>
  <c r="I50" i="14"/>
  <c r="T49" i="14"/>
  <c r="U49" i="14" s="1"/>
  <c r="V49" i="14" s="1"/>
  <c r="Q49" i="14"/>
  <c r="R49" i="14" s="1"/>
  <c r="S49" i="14" s="1"/>
  <c r="P49" i="14"/>
  <c r="K49" i="14"/>
  <c r="I49" i="14"/>
  <c r="T48" i="14"/>
  <c r="U48" i="14" s="1"/>
  <c r="V48" i="14" s="1"/>
  <c r="Q48" i="14"/>
  <c r="R48" i="14" s="1"/>
  <c r="S48" i="14" s="1"/>
  <c r="P48" i="14"/>
  <c r="K48" i="14"/>
  <c r="I48" i="14"/>
  <c r="T47" i="14"/>
  <c r="U47" i="14" s="1"/>
  <c r="V47" i="14" s="1"/>
  <c r="Q47" i="14"/>
  <c r="R47" i="14" s="1"/>
  <c r="S47" i="14" s="1"/>
  <c r="P47" i="14"/>
  <c r="K47" i="14"/>
  <c r="I47" i="14"/>
  <c r="T46" i="14"/>
  <c r="U46" i="14" s="1"/>
  <c r="V46" i="14" s="1"/>
  <c r="Q46" i="14"/>
  <c r="R46" i="14" s="1"/>
  <c r="S46" i="14" s="1"/>
  <c r="P46" i="14"/>
  <c r="K46" i="14"/>
  <c r="I46" i="14"/>
  <c r="T45" i="14"/>
  <c r="U45" i="14" s="1"/>
  <c r="V45" i="14" s="1"/>
  <c r="Q45" i="14"/>
  <c r="R45" i="14" s="1"/>
  <c r="S45" i="14" s="1"/>
  <c r="P45" i="14"/>
  <c r="K45" i="14"/>
  <c r="I45" i="14"/>
  <c r="K44" i="14"/>
  <c r="I44" i="14"/>
  <c r="K43" i="14"/>
  <c r="I43" i="14"/>
  <c r="T42" i="14"/>
  <c r="U42" i="14" s="1"/>
  <c r="V42" i="14" s="1"/>
  <c r="Q42" i="14"/>
  <c r="R42" i="14" s="1"/>
  <c r="S42" i="14" s="1"/>
  <c r="P42" i="14"/>
  <c r="K42" i="14"/>
  <c r="I42" i="14"/>
  <c r="K41" i="14"/>
  <c r="I41" i="14"/>
  <c r="T40" i="14"/>
  <c r="U40" i="14" s="1"/>
  <c r="V40" i="14" s="1"/>
  <c r="Q40" i="14"/>
  <c r="R40" i="14" s="1"/>
  <c r="S40" i="14" s="1"/>
  <c r="P40" i="14"/>
  <c r="K40" i="14"/>
  <c r="I40" i="14"/>
  <c r="K38" i="14"/>
  <c r="I38" i="14"/>
  <c r="T37" i="14"/>
  <c r="U37" i="14" s="1"/>
  <c r="V37" i="14" s="1"/>
  <c r="Q37" i="14"/>
  <c r="R37" i="14" s="1"/>
  <c r="S37" i="14" s="1"/>
  <c r="P37" i="14"/>
  <c r="K37" i="14"/>
  <c r="I37" i="14"/>
  <c r="K36" i="14"/>
  <c r="I36" i="14"/>
  <c r="K35" i="14"/>
  <c r="I35" i="14"/>
  <c r="T34" i="14"/>
  <c r="U34" i="14" s="1"/>
  <c r="V34" i="14" s="1"/>
  <c r="Q34" i="14"/>
  <c r="R34" i="14" s="1"/>
  <c r="S34" i="14" s="1"/>
  <c r="P34" i="14"/>
  <c r="K34" i="14"/>
  <c r="I34" i="14"/>
  <c r="K33" i="14"/>
  <c r="I33" i="14"/>
  <c r="K32" i="14"/>
  <c r="I32" i="14"/>
  <c r="T31" i="14"/>
  <c r="U31" i="14" s="1"/>
  <c r="V31" i="14" s="1"/>
  <c r="Q31" i="14"/>
  <c r="R31" i="14" s="1"/>
  <c r="S31" i="14" s="1"/>
  <c r="P31" i="14"/>
  <c r="K31" i="14"/>
  <c r="I31" i="14"/>
  <c r="K30" i="14"/>
  <c r="I30" i="14"/>
  <c r="K29" i="14"/>
  <c r="I29" i="14"/>
  <c r="T28" i="14"/>
  <c r="U28" i="14" s="1"/>
  <c r="Q28" i="14"/>
  <c r="R28" i="14" s="1"/>
  <c r="P28" i="14"/>
  <c r="K28" i="14"/>
  <c r="I28" i="14"/>
  <c r="K27" i="14"/>
  <c r="I27" i="14"/>
  <c r="T26" i="14"/>
  <c r="U26" i="14" s="1"/>
  <c r="V26" i="14" s="1"/>
  <c r="Q26" i="14"/>
  <c r="R26" i="14" s="1"/>
  <c r="S26" i="14" s="1"/>
  <c r="P26" i="14"/>
  <c r="K26" i="14"/>
  <c r="I26" i="14"/>
  <c r="K25" i="14"/>
  <c r="I25" i="14"/>
  <c r="T24" i="14"/>
  <c r="U24" i="14" s="1"/>
  <c r="V24" i="14" s="1"/>
  <c r="Q24" i="14"/>
  <c r="R24" i="14" s="1"/>
  <c r="S24" i="14" s="1"/>
  <c r="P24" i="14"/>
  <c r="K24" i="14"/>
  <c r="I24" i="14"/>
  <c r="P22" i="14"/>
  <c r="K22" i="14"/>
  <c r="I22" i="14"/>
  <c r="F22" i="14"/>
  <c r="Q22" i="14" s="1"/>
  <c r="R22" i="14" s="1"/>
  <c r="S22" i="14" s="1"/>
  <c r="P21" i="14"/>
  <c r="K21" i="14"/>
  <c r="I21" i="14"/>
  <c r="F21" i="14"/>
  <c r="T21" i="14" s="1"/>
  <c r="U21" i="14" s="1"/>
  <c r="V21" i="14" s="1"/>
  <c r="K20" i="14"/>
  <c r="I20" i="14"/>
  <c r="F20" i="14"/>
  <c r="P19" i="14"/>
  <c r="K19" i="14"/>
  <c r="I19" i="14"/>
  <c r="F19" i="14"/>
  <c r="Q19" i="14" s="1"/>
  <c r="R19" i="14" s="1"/>
  <c r="S19" i="14" s="1"/>
  <c r="K18" i="14"/>
  <c r="I18" i="14"/>
  <c r="F18" i="14"/>
  <c r="P17" i="14"/>
  <c r="K17" i="14"/>
  <c r="I17" i="14"/>
  <c r="F17" i="14"/>
  <c r="T17" i="14" s="1"/>
  <c r="U17" i="14" s="1"/>
  <c r="V17" i="14" s="1"/>
  <c r="K16" i="14"/>
  <c r="I16" i="14"/>
  <c r="F16" i="14"/>
  <c r="P15" i="14"/>
  <c r="K15" i="14"/>
  <c r="I15" i="14"/>
  <c r="F15" i="14"/>
  <c r="T15" i="14" s="1"/>
  <c r="U15" i="14" s="1"/>
  <c r="V15" i="14" s="1"/>
  <c r="K14" i="14"/>
  <c r="I14" i="14"/>
  <c r="F14" i="14"/>
  <c r="P13" i="14"/>
  <c r="K13" i="14"/>
  <c r="I13" i="14"/>
  <c r="F13" i="14"/>
  <c r="T13" i="14" s="1"/>
  <c r="O6" i="14"/>
  <c r="N6" i="14"/>
  <c r="M6" i="14"/>
  <c r="T22" i="14"/>
  <c r="U22" i="14" s="1"/>
  <c r="V22" i="14" s="1"/>
  <c r="P31" i="13"/>
  <c r="P30" i="13"/>
  <c r="P15" i="13"/>
  <c r="K30" i="13"/>
  <c r="I30" i="13"/>
  <c r="N73" i="13"/>
  <c r="M73" i="13"/>
  <c r="L73" i="13"/>
  <c r="F18" i="3"/>
  <c r="F16" i="3"/>
  <c r="F14" i="3"/>
  <c r="F10" i="3"/>
  <c r="F12" i="3"/>
  <c r="T136" i="13" l="1"/>
  <c r="U136" i="13" s="1"/>
  <c r="V136" i="13" s="1"/>
  <c r="Q136" i="13"/>
  <c r="R136" i="13" s="1"/>
  <c r="S136" i="13" s="1"/>
  <c r="T128" i="13"/>
  <c r="U128" i="13" s="1"/>
  <c r="V128" i="13" s="1"/>
  <c r="Q128" i="13"/>
  <c r="R128" i="13" s="1"/>
  <c r="S128" i="13" s="1"/>
  <c r="W128" i="13" s="1"/>
  <c r="T130" i="13"/>
  <c r="U130" i="13" s="1"/>
  <c r="V130" i="13" s="1"/>
  <c r="Q130" i="13"/>
  <c r="R130" i="13" s="1"/>
  <c r="S130" i="13" s="1"/>
  <c r="W130" i="13" s="1"/>
  <c r="Q87" i="14"/>
  <c r="R87" i="14" s="1"/>
  <c r="S87" i="14" s="1"/>
  <c r="W87" i="14" s="1"/>
  <c r="T134" i="13"/>
  <c r="U134" i="13" s="1"/>
  <c r="V134" i="13" s="1"/>
  <c r="Q134" i="13"/>
  <c r="R134" i="13" s="1"/>
  <c r="S134" i="13" s="1"/>
  <c r="T126" i="13"/>
  <c r="U126" i="13" s="1"/>
  <c r="V126" i="13" s="1"/>
  <c r="Q126" i="13"/>
  <c r="R126" i="13" s="1"/>
  <c r="S126" i="13" s="1"/>
  <c r="Q120" i="13"/>
  <c r="R120" i="13" s="1"/>
  <c r="S120" i="13" s="1"/>
  <c r="W120" i="13" s="1"/>
  <c r="T120" i="13"/>
  <c r="U120" i="13" s="1"/>
  <c r="V120" i="13" s="1"/>
  <c r="T132" i="13"/>
  <c r="U132" i="13" s="1"/>
  <c r="V132" i="13" s="1"/>
  <c r="Q132" i="13"/>
  <c r="R132" i="13" s="1"/>
  <c r="S132" i="13" s="1"/>
  <c r="T122" i="13"/>
  <c r="U122" i="13" s="1"/>
  <c r="V122" i="13" s="1"/>
  <c r="Q122" i="13"/>
  <c r="R122" i="13" s="1"/>
  <c r="S122" i="13" s="1"/>
  <c r="T100" i="13"/>
  <c r="U100" i="13" s="1"/>
  <c r="V100" i="13" s="1"/>
  <c r="Q100" i="13"/>
  <c r="R100" i="13" s="1"/>
  <c r="S100" i="13" s="1"/>
  <c r="T106" i="13"/>
  <c r="U106" i="13" s="1"/>
  <c r="V106" i="13" s="1"/>
  <c r="Q106" i="13"/>
  <c r="R106" i="13" s="1"/>
  <c r="S106" i="13" s="1"/>
  <c r="Q77" i="13"/>
  <c r="R77" i="13" s="1"/>
  <c r="S77" i="13" s="1"/>
  <c r="T77" i="13"/>
  <c r="U77" i="13" s="1"/>
  <c r="V77" i="13" s="1"/>
  <c r="T102" i="13"/>
  <c r="U102" i="13" s="1"/>
  <c r="V102" i="13" s="1"/>
  <c r="Q102" i="13"/>
  <c r="R102" i="13" s="1"/>
  <c r="S102" i="13" s="1"/>
  <c r="T98" i="13"/>
  <c r="U98" i="13" s="1"/>
  <c r="V98" i="13" s="1"/>
  <c r="Q98" i="13"/>
  <c r="R98" i="13" s="1"/>
  <c r="S98" i="13" s="1"/>
  <c r="W43" i="13"/>
  <c r="Q85" i="13"/>
  <c r="R85" i="13" s="1"/>
  <c r="S85" i="13" s="1"/>
  <c r="T85" i="13"/>
  <c r="U85" i="13" s="1"/>
  <c r="V85" i="13" s="1"/>
  <c r="Q116" i="13"/>
  <c r="R116" i="13" s="1"/>
  <c r="S116" i="13" s="1"/>
  <c r="T116" i="13"/>
  <c r="U116" i="13" s="1"/>
  <c r="V116" i="13" s="1"/>
  <c r="Q83" i="13"/>
  <c r="R83" i="13" s="1"/>
  <c r="S83" i="13" s="1"/>
  <c r="T83" i="13"/>
  <c r="U83" i="13" s="1"/>
  <c r="V83" i="13" s="1"/>
  <c r="Q79" i="13"/>
  <c r="R79" i="13" s="1"/>
  <c r="S79" i="13" s="1"/>
  <c r="T79" i="13"/>
  <c r="U79" i="13" s="1"/>
  <c r="V79" i="13" s="1"/>
  <c r="Q104" i="13"/>
  <c r="R104" i="13" s="1"/>
  <c r="S104" i="13" s="1"/>
  <c r="T104" i="13"/>
  <c r="U104" i="13" s="1"/>
  <c r="V104" i="13" s="1"/>
  <c r="Q108" i="13"/>
  <c r="R108" i="13" s="1"/>
  <c r="S108" i="13" s="1"/>
  <c r="T108" i="13"/>
  <c r="U108" i="13" s="1"/>
  <c r="V108" i="13" s="1"/>
  <c r="T81" i="13"/>
  <c r="U81" i="13" s="1"/>
  <c r="V81" i="13" s="1"/>
  <c r="Q81" i="13"/>
  <c r="R81" i="13" s="1"/>
  <c r="S81" i="13" s="1"/>
  <c r="W110" i="13"/>
  <c r="T67" i="13"/>
  <c r="U67" i="13" s="1"/>
  <c r="V67" i="13" s="1"/>
  <c r="Q67" i="13"/>
  <c r="R67" i="13" s="1"/>
  <c r="S67" i="13" s="1"/>
  <c r="T69" i="13"/>
  <c r="U69" i="13" s="1"/>
  <c r="V69" i="13" s="1"/>
  <c r="Q69" i="13"/>
  <c r="R69" i="13" s="1"/>
  <c r="S69" i="13" s="1"/>
  <c r="W69" i="13" s="1"/>
  <c r="Q62" i="13"/>
  <c r="R62" i="13" s="1"/>
  <c r="S62" i="13" s="1"/>
  <c r="T62" i="13"/>
  <c r="U62" i="13" s="1"/>
  <c r="V62" i="13" s="1"/>
  <c r="T53" i="13"/>
  <c r="U53" i="13" s="1"/>
  <c r="V53" i="13" s="1"/>
  <c r="Q53" i="13"/>
  <c r="R53" i="13" s="1"/>
  <c r="S53" i="13" s="1"/>
  <c r="T49" i="13"/>
  <c r="U49" i="13" s="1"/>
  <c r="V49" i="13" s="1"/>
  <c r="Q49" i="13"/>
  <c r="R49" i="13" s="1"/>
  <c r="S49" i="13" s="1"/>
  <c r="T51" i="13"/>
  <c r="U51" i="13" s="1"/>
  <c r="V51" i="13" s="1"/>
  <c r="Q51" i="13"/>
  <c r="R51" i="13" s="1"/>
  <c r="S51" i="13" s="1"/>
  <c r="W51" i="13" s="1"/>
  <c r="T39" i="13"/>
  <c r="U39" i="13" s="1"/>
  <c r="V39" i="13" s="1"/>
  <c r="Q39" i="13"/>
  <c r="R39" i="13" s="1"/>
  <c r="S39" i="13" s="1"/>
  <c r="T33" i="13"/>
  <c r="U33" i="13" s="1"/>
  <c r="V33" i="13" s="1"/>
  <c r="Q33" i="13"/>
  <c r="R33" i="13" s="1"/>
  <c r="S33" i="13" s="1"/>
  <c r="Q41" i="13"/>
  <c r="R41" i="13" s="1"/>
  <c r="S41" i="13" s="1"/>
  <c r="T41" i="13"/>
  <c r="U41" i="13" s="1"/>
  <c r="V41" i="13" s="1"/>
  <c r="Q37" i="13"/>
  <c r="R37" i="13" s="1"/>
  <c r="S37" i="13" s="1"/>
  <c r="T37" i="13"/>
  <c r="U37" i="13" s="1"/>
  <c r="V37" i="13" s="1"/>
  <c r="Q47" i="13"/>
  <c r="R47" i="13" s="1"/>
  <c r="S47" i="13" s="1"/>
  <c r="T47" i="13"/>
  <c r="U47" i="13" s="1"/>
  <c r="V47" i="13" s="1"/>
  <c r="Q26" i="13"/>
  <c r="R26" i="13" s="1"/>
  <c r="S26" i="13" s="1"/>
  <c r="T26" i="13"/>
  <c r="U26" i="13" s="1"/>
  <c r="V26" i="13" s="1"/>
  <c r="T24" i="13"/>
  <c r="Q24" i="13"/>
  <c r="R24" i="13" s="1"/>
  <c r="S24" i="13" s="1"/>
  <c r="T22" i="13"/>
  <c r="U22" i="13" s="1"/>
  <c r="V22" i="13" s="1"/>
  <c r="Q22" i="13"/>
  <c r="R22" i="13" s="1"/>
  <c r="S22" i="13" s="1"/>
  <c r="Q20" i="13"/>
  <c r="R20" i="13" s="1"/>
  <c r="S20" i="13" s="1"/>
  <c r="T20" i="13"/>
  <c r="U20" i="13" s="1"/>
  <c r="V20" i="13" s="1"/>
  <c r="Q18" i="13"/>
  <c r="R18" i="13" s="1"/>
  <c r="S18" i="13" s="1"/>
  <c r="T18" i="13"/>
  <c r="U18" i="13" s="1"/>
  <c r="V18" i="13" s="1"/>
  <c r="T30" i="13"/>
  <c r="U30" i="13" s="1"/>
  <c r="V30" i="13" s="1"/>
  <c r="Q30" i="13"/>
  <c r="V16" i="13"/>
  <c r="T31" i="13"/>
  <c r="U31" i="13" s="1"/>
  <c r="V31" i="13" s="1"/>
  <c r="Q31" i="13"/>
  <c r="G74" i="13"/>
  <c r="K73" i="13"/>
  <c r="I178" i="13"/>
  <c r="G178" i="13"/>
  <c r="K178" i="13"/>
  <c r="P178" i="13"/>
  <c r="Q55" i="14"/>
  <c r="R55" i="14" s="1"/>
  <c r="S55" i="14" s="1"/>
  <c r="W55" i="14" s="1"/>
  <c r="Q100" i="14"/>
  <c r="R100" i="14" s="1"/>
  <c r="S100" i="14" s="1"/>
  <c r="W100" i="14" s="1"/>
  <c r="Q95" i="14"/>
  <c r="R95" i="14" s="1"/>
  <c r="S95" i="14" s="1"/>
  <c r="W95" i="14" s="1"/>
  <c r="F19" i="3"/>
  <c r="R13" i="13"/>
  <c r="S13" i="13" s="1"/>
  <c r="Q82" i="14"/>
  <c r="R82" i="14" s="1"/>
  <c r="S82" i="14" s="1"/>
  <c r="W82" i="14" s="1"/>
  <c r="Q76" i="14"/>
  <c r="R76" i="14" s="1"/>
  <c r="S76" i="14" s="1"/>
  <c r="W76" i="14" s="1"/>
  <c r="Q98" i="14"/>
  <c r="R98" i="14" s="1"/>
  <c r="S98" i="14" s="1"/>
  <c r="W98" i="14" s="1"/>
  <c r="Q80" i="14"/>
  <c r="R80" i="14" s="1"/>
  <c r="S80" i="14" s="1"/>
  <c r="W80" i="14" s="1"/>
  <c r="Q104" i="14"/>
  <c r="R104" i="14" s="1"/>
  <c r="S104" i="14" s="1"/>
  <c r="W104" i="14" s="1"/>
  <c r="Q21" i="14"/>
  <c r="R21" i="14" s="1"/>
  <c r="S21" i="14" s="1"/>
  <c r="W21" i="14" s="1"/>
  <c r="Q53" i="14"/>
  <c r="R53" i="14" s="1"/>
  <c r="S53" i="14" s="1"/>
  <c r="Q73" i="14"/>
  <c r="R73" i="14" s="1"/>
  <c r="S73" i="14" s="1"/>
  <c r="W73" i="14" s="1"/>
  <c r="Q91" i="14"/>
  <c r="R91" i="14" s="1"/>
  <c r="S91" i="14" s="1"/>
  <c r="W91" i="14" s="1"/>
  <c r="L180" i="13"/>
  <c r="T109" i="14"/>
  <c r="U109" i="14" s="1"/>
  <c r="V109" i="14" s="1"/>
  <c r="Q70" i="14"/>
  <c r="R70" i="14" s="1"/>
  <c r="S70" i="14" s="1"/>
  <c r="W70" i="14" s="1"/>
  <c r="O113" i="14"/>
  <c r="Q72" i="14"/>
  <c r="R72" i="14" s="1"/>
  <c r="S72" i="14" s="1"/>
  <c r="W72" i="14" s="1"/>
  <c r="T19" i="14"/>
  <c r="U19" i="14" s="1"/>
  <c r="V19" i="14" s="1"/>
  <c r="W19" i="14" s="1"/>
  <c r="W22" i="14"/>
  <c r="Q84" i="14"/>
  <c r="R84" i="14" s="1"/>
  <c r="S84" i="14" s="1"/>
  <c r="W84" i="14" s="1"/>
  <c r="P70" i="14"/>
  <c r="N113" i="14"/>
  <c r="Q62" i="14"/>
  <c r="R62" i="14" s="1"/>
  <c r="S62" i="14" s="1"/>
  <c r="Q85" i="14"/>
  <c r="R85" i="14" s="1"/>
  <c r="S85" i="14" s="1"/>
  <c r="W85" i="14" s="1"/>
  <c r="Q77" i="14"/>
  <c r="R77" i="14" s="1"/>
  <c r="S77" i="14" s="1"/>
  <c r="W77" i="14" s="1"/>
  <c r="Q63" i="14"/>
  <c r="R63" i="14" s="1"/>
  <c r="S63" i="14" s="1"/>
  <c r="W63" i="14" s="1"/>
  <c r="Q75" i="14"/>
  <c r="R75" i="14" s="1"/>
  <c r="S75" i="14" s="1"/>
  <c r="W75" i="14" s="1"/>
  <c r="P58" i="14"/>
  <c r="Q15" i="14"/>
  <c r="R15" i="14" s="1"/>
  <c r="S15" i="14" s="1"/>
  <c r="W15" i="14" s="1"/>
  <c r="Q17" i="14"/>
  <c r="R17" i="14" s="1"/>
  <c r="S17" i="14" s="1"/>
  <c r="W17" i="14" s="1"/>
  <c r="W48" i="14"/>
  <c r="T56" i="14"/>
  <c r="U56" i="14" s="1"/>
  <c r="V56" i="14" s="1"/>
  <c r="W56" i="14" s="1"/>
  <c r="G114" i="14"/>
  <c r="W47" i="14"/>
  <c r="T64" i="14"/>
  <c r="U64" i="14" s="1"/>
  <c r="V64" i="14" s="1"/>
  <c r="W64" i="14" s="1"/>
  <c r="T79" i="14"/>
  <c r="U79" i="14" s="1"/>
  <c r="V79" i="14" s="1"/>
  <c r="W79" i="14" s="1"/>
  <c r="Q83" i="14"/>
  <c r="R83" i="14" s="1"/>
  <c r="S83" i="14" s="1"/>
  <c r="W83" i="14" s="1"/>
  <c r="T96" i="14"/>
  <c r="U96" i="14" s="1"/>
  <c r="V96" i="14" s="1"/>
  <c r="W96" i="14" s="1"/>
  <c r="L113" i="14"/>
  <c r="T81" i="14"/>
  <c r="U81" i="14" s="1"/>
  <c r="V81" i="14" s="1"/>
  <c r="W81" i="14" s="1"/>
  <c r="Q108" i="14"/>
  <c r="R108" i="14" s="1"/>
  <c r="S108" i="14" s="1"/>
  <c r="W108" i="14" s="1"/>
  <c r="Q106" i="14"/>
  <c r="R106" i="14" s="1"/>
  <c r="S106" i="14" s="1"/>
  <c r="W106" i="14" s="1"/>
  <c r="W65" i="14"/>
  <c r="P86" i="14"/>
  <c r="T101" i="14"/>
  <c r="U101" i="14" s="1"/>
  <c r="V101" i="14" s="1"/>
  <c r="W101" i="14" s="1"/>
  <c r="W40" i="14"/>
  <c r="W24" i="14"/>
  <c r="W49" i="14"/>
  <c r="Q71" i="14"/>
  <c r="R71" i="14" s="1"/>
  <c r="S71" i="14" s="1"/>
  <c r="W71" i="14" s="1"/>
  <c r="Q74" i="14"/>
  <c r="R74" i="14" s="1"/>
  <c r="S74" i="14" s="1"/>
  <c r="W74" i="14" s="1"/>
  <c r="T105" i="14"/>
  <c r="U105" i="14" s="1"/>
  <c r="V105" i="14" s="1"/>
  <c r="W105" i="14" s="1"/>
  <c r="S17" i="13"/>
  <c r="P73" i="13"/>
  <c r="U15" i="13"/>
  <c r="V15" i="13" s="1"/>
  <c r="R15" i="13"/>
  <c r="S15" i="13" s="1"/>
  <c r="W26" i="14"/>
  <c r="V28" i="14"/>
  <c r="U6" i="14"/>
  <c r="W46" i="14"/>
  <c r="W109" i="14"/>
  <c r="R6" i="14"/>
  <c r="S28" i="14"/>
  <c r="U13" i="14"/>
  <c r="W31" i="14"/>
  <c r="W45" i="14"/>
  <c r="W34" i="14"/>
  <c r="U62" i="14"/>
  <c r="W53" i="14"/>
  <c r="W37" i="14"/>
  <c r="W42" i="14"/>
  <c r="W50" i="14"/>
  <c r="G112" i="14"/>
  <c r="G59" i="14"/>
  <c r="T69" i="14"/>
  <c r="U69" i="14" s="1"/>
  <c r="V69" i="14" s="1"/>
  <c r="W69" i="14" s="1"/>
  <c r="Q92" i="14"/>
  <c r="R92" i="14" s="1"/>
  <c r="S92" i="14" s="1"/>
  <c r="W92" i="14" s="1"/>
  <c r="T99" i="14"/>
  <c r="U99" i="14" s="1"/>
  <c r="V99" i="14" s="1"/>
  <c r="W99" i="14" s="1"/>
  <c r="T107" i="14"/>
  <c r="U107" i="14" s="1"/>
  <c r="V107" i="14" s="1"/>
  <c r="W107" i="14" s="1"/>
  <c r="Q86" i="14"/>
  <c r="R86" i="14" s="1"/>
  <c r="S86" i="14" s="1"/>
  <c r="Q67" i="14"/>
  <c r="R67" i="14" s="1"/>
  <c r="S67" i="14" s="1"/>
  <c r="W67" i="14" s="1"/>
  <c r="T86" i="14"/>
  <c r="U86" i="14" s="1"/>
  <c r="V86" i="14" s="1"/>
  <c r="T103" i="14"/>
  <c r="U103" i="14" s="1"/>
  <c r="V103" i="14" s="1"/>
  <c r="W103" i="14" s="1"/>
  <c r="M111" i="14"/>
  <c r="M113" i="14" s="1"/>
  <c r="T68" i="14"/>
  <c r="U68" i="14" s="1"/>
  <c r="V68" i="14" s="1"/>
  <c r="W68" i="14" s="1"/>
  <c r="T90" i="14"/>
  <c r="U90" i="14" s="1"/>
  <c r="V90" i="14" s="1"/>
  <c r="W90" i="14" s="1"/>
  <c r="Q13" i="14"/>
  <c r="Q102" i="14"/>
  <c r="R102" i="14" s="1"/>
  <c r="S102" i="14" s="1"/>
  <c r="W102" i="14" s="1"/>
  <c r="M180" i="13"/>
  <c r="O180" i="13"/>
  <c r="N180" i="13"/>
  <c r="U17" i="13"/>
  <c r="V17" i="13" s="1"/>
  <c r="W132" i="13" l="1"/>
  <c r="W126" i="13"/>
  <c r="W39" i="13"/>
  <c r="W49" i="13"/>
  <c r="W67" i="13"/>
  <c r="W81" i="13"/>
  <c r="W83" i="13"/>
  <c r="W122" i="13"/>
  <c r="W134" i="13"/>
  <c r="W136" i="13"/>
  <c r="W104" i="13"/>
  <c r="W100" i="13"/>
  <c r="W106" i="13"/>
  <c r="W85" i="13"/>
  <c r="W79" i="13"/>
  <c r="W108" i="13"/>
  <c r="W116" i="13"/>
  <c r="W77" i="13"/>
  <c r="W102" i="13"/>
  <c r="W33" i="13"/>
  <c r="W53" i="13"/>
  <c r="W98" i="13"/>
  <c r="W62" i="13"/>
  <c r="W22" i="13"/>
  <c r="W47" i="13"/>
  <c r="W37" i="13"/>
  <c r="R30" i="13"/>
  <c r="S30" i="13" s="1"/>
  <c r="W30" i="13" s="1"/>
  <c r="W41" i="13"/>
  <c r="R31" i="13"/>
  <c r="S31" i="13" s="1"/>
  <c r="W31" i="13" s="1"/>
  <c r="W20" i="13"/>
  <c r="U24" i="13"/>
  <c r="V24" i="13" s="1"/>
  <c r="W24" i="13" s="1"/>
  <c r="W26" i="13"/>
  <c r="W17" i="13"/>
  <c r="W18" i="13"/>
  <c r="W16" i="13"/>
  <c r="G179" i="13"/>
  <c r="G181" i="13"/>
  <c r="T178" i="13"/>
  <c r="Q178" i="13"/>
  <c r="U13" i="13"/>
  <c r="V13" i="13" s="1"/>
  <c r="W13" i="13" s="1"/>
  <c r="P111" i="14"/>
  <c r="P113" i="14" s="1"/>
  <c r="T58" i="14"/>
  <c r="W28" i="14"/>
  <c r="W15" i="13"/>
  <c r="U58" i="14"/>
  <c r="V13" i="14"/>
  <c r="V58" i="14" s="1"/>
  <c r="Q58" i="14"/>
  <c r="R13" i="14"/>
  <c r="W86" i="14"/>
  <c r="T111" i="14"/>
  <c r="Q111" i="14"/>
  <c r="U111" i="14"/>
  <c r="V62" i="14"/>
  <c r="V111" i="14" s="1"/>
  <c r="S111" i="14"/>
  <c r="R111" i="14"/>
  <c r="P180" i="13"/>
  <c r="T73" i="13"/>
  <c r="Q73" i="13"/>
  <c r="R178" i="13" l="1"/>
  <c r="V178" i="13"/>
  <c r="U178" i="13"/>
  <c r="Q113" i="14"/>
  <c r="T113" i="14"/>
  <c r="U73" i="13"/>
  <c r="Q180" i="13"/>
  <c r="U113" i="14"/>
  <c r="W62" i="14"/>
  <c r="W111" i="14" s="1"/>
  <c r="W73" i="13"/>
  <c r="S73" i="13"/>
  <c r="R73" i="13"/>
  <c r="R58" i="14"/>
  <c r="R113" i="14" s="1"/>
  <c r="S13" i="14"/>
  <c r="V113" i="14"/>
  <c r="T180" i="13"/>
  <c r="V73" i="13"/>
  <c r="U180" i="13" l="1"/>
  <c r="V180" i="13"/>
  <c r="S178" i="13"/>
  <c r="S180" i="13" s="1"/>
  <c r="R180" i="13"/>
  <c r="S58" i="14"/>
  <c r="S113" i="14" s="1"/>
  <c r="W13" i="14"/>
  <c r="W58" i="14" s="1"/>
  <c r="W113" i="14" s="1"/>
  <c r="W178" i="13" l="1"/>
  <c r="W180" i="13" s="1"/>
</calcChain>
</file>

<file path=xl/sharedStrings.xml><?xml version="1.0" encoding="utf-8"?>
<sst xmlns="http://schemas.openxmlformats.org/spreadsheetml/2006/main" count="1081" uniqueCount="919">
  <si>
    <t>Plan de Beneficios Flexibles</t>
  </si>
  <si>
    <t>Fecha de inicio del proyecto</t>
  </si>
  <si>
    <t>Fecha de finalización del proyecto</t>
  </si>
  <si>
    <t>GRAN TOTAL</t>
  </si>
  <si>
    <t>Con recursos propios</t>
  </si>
  <si>
    <t>Con ingresos adicionales de derechos pecuniarios</t>
  </si>
  <si>
    <t>Con créditos nuevos</t>
  </si>
  <si>
    <t>Tipo de proyectos</t>
  </si>
  <si>
    <t>x</t>
  </si>
  <si>
    <t>PROGRAMA</t>
  </si>
  <si>
    <t>% Incremento</t>
  </si>
  <si>
    <t>Total general</t>
  </si>
  <si>
    <t>Programa de Formación Doctoral de profesores</t>
  </si>
  <si>
    <t>CLASE</t>
  </si>
  <si>
    <t>DESC. CLASE</t>
  </si>
  <si>
    <t>RUBRO</t>
  </si>
  <si>
    <t>DESCRIPCION_CUENTA</t>
  </si>
  <si>
    <t>Construcciones y edificaciones</t>
  </si>
  <si>
    <t>Maquinaria y equipo</t>
  </si>
  <si>
    <t>1508</t>
  </si>
  <si>
    <t>CONSTRUCCIONES EN CURSO</t>
  </si>
  <si>
    <t>15080501</t>
  </si>
  <si>
    <t>Total 1508</t>
  </si>
  <si>
    <t>1520</t>
  </si>
  <si>
    <t>MAQUINARIA Y EQUIPO</t>
  </si>
  <si>
    <t>15200501</t>
  </si>
  <si>
    <t>Total 1520</t>
  </si>
  <si>
    <t>1524</t>
  </si>
  <si>
    <t>EQUIPO DE OFICINA</t>
  </si>
  <si>
    <t>15240501</t>
  </si>
  <si>
    <t>Muebles y enseres</t>
  </si>
  <si>
    <t>Total 1524</t>
  </si>
  <si>
    <t>1528</t>
  </si>
  <si>
    <t>EQUIPO COMPUTACION Y COMUNICAC</t>
  </si>
  <si>
    <t>15280501</t>
  </si>
  <si>
    <t>Equipos procesamiento de datos</t>
  </si>
  <si>
    <t>Total 1528</t>
  </si>
  <si>
    <t>FACULTAD DE HUMANIDADES Y CIENCIAS SOCIALES</t>
  </si>
  <si>
    <t>FACULTAD DE CIENCIAS DE LA SALUD</t>
  </si>
  <si>
    <t xml:space="preserve">ESP. GERENCIA SOCIAL </t>
  </si>
  <si>
    <t>ESP. EN FINANZAS</t>
  </si>
  <si>
    <t>ESP. EN GESTIÓN TRIBUTARIA</t>
  </si>
  <si>
    <t>ESP. ADMINISTRACIÓN EN SALUD</t>
  </si>
  <si>
    <t>ESP.  CONTABILIDAD FINANCIERA INTERNACIONAL</t>
  </si>
  <si>
    <t>ESP. EN NEGOCIOS INTERNACIONALES</t>
  </si>
  <si>
    <t>MAESTRÍA EN ADMINISTRACIÓN DE EMPRESAS</t>
  </si>
  <si>
    <t>MAESTRIA EN FINANZAS</t>
  </si>
  <si>
    <t>MAESTRIA EN MERCADEO</t>
  </si>
  <si>
    <t>ESP. SIST. DE INGENIERÍA</t>
  </si>
  <si>
    <t>ESP. GERENCIA DE CONSTRUCCIÓN</t>
  </si>
  <si>
    <t>ESP. LOGÍSTICA INTEGRAL</t>
  </si>
  <si>
    <t>ESP. EN INGENIERÍA DE LA CALIDAD</t>
  </si>
  <si>
    <t>MAESTRÍA EN INGENIERÍA</t>
  </si>
  <si>
    <t>MAESTRIA EN INGENIERIA CIVIL</t>
  </si>
  <si>
    <t>DOCTORADO EN INGENIERIA</t>
  </si>
  <si>
    <t>ESP. EN CULTURA DE PAZ. DIH</t>
  </si>
  <si>
    <t>ESP. EN DERECHO COMERCIAL</t>
  </si>
  <si>
    <t>ESP. EN PROCESOS HUMANOS Y DESARROLLO ORG.</t>
  </si>
  <si>
    <t>ESP. NEUROPSICOLOGÍA INFANTIL</t>
  </si>
  <si>
    <t>ESP. EN SEGURIDAD SOCIAL</t>
  </si>
  <si>
    <t>MAESTRÍA EN FAMILIA</t>
  </si>
  <si>
    <t>MAESTRÍA EN DERECHOS HUMANOS</t>
  </si>
  <si>
    <t>MAESTRIA EN DERECHO EMPRESARIAL</t>
  </si>
  <si>
    <t>MAESTRIA EN SALUD PUBLICA</t>
  </si>
  <si>
    <t xml:space="preserve">OTROS CONCEPTOS </t>
  </si>
  <si>
    <t>Variacion %</t>
  </si>
  <si>
    <t>EXÁMENES DE VALIDACIÓN</t>
  </si>
  <si>
    <t>CERTIFICADOS DE NOTAS</t>
  </si>
  <si>
    <t>CERTIFICADOS DE CONTENIDOS</t>
  </si>
  <si>
    <t>CERTIFICADOS FINANCIEROS</t>
  </si>
  <si>
    <t>REPOSICIÓN DE CARNÉ PARA ESTUDIANTES</t>
  </si>
  <si>
    <t>MULTAS BIBLIOTECA, AUDIOV. Y LAB.</t>
  </si>
  <si>
    <t>MULTA LIBROS DE RESERVA</t>
  </si>
  <si>
    <t>HOJAS DE CANCELACIÓN DE ASIGNATURAS</t>
  </si>
  <si>
    <t>ACTAS DE GRADO (COPIA)</t>
  </si>
  <si>
    <t>DIPLOMA EN ESPAÑOL (COPIA)</t>
  </si>
  <si>
    <t>Auxilio de matrícula de hijos de profesores y empleados administrativos de tiempo completo</t>
  </si>
  <si>
    <t>Programa de Becas</t>
  </si>
  <si>
    <t>Pontificia Universidad Javeriana</t>
  </si>
  <si>
    <t>Contenido</t>
  </si>
  <si>
    <t>Incremento en valores de matrícula y demás derechos pecuniarios - Anexo Seccional Cali</t>
  </si>
  <si>
    <t>PONTIFICIA UNIVERSIDAD JAVERIANA  - SECCIONAL CALI</t>
  </si>
  <si>
    <t>PONTIFICIA UNIVERSIDAD JAVERIANA - SECCIONAL CALI</t>
  </si>
  <si>
    <t>Volver al menú</t>
  </si>
  <si>
    <t>Cambios tecnológicos en sistemas de iluminación LED y colocación de paneles solares</t>
  </si>
  <si>
    <t xml:space="preserve">Equipos de cómputo para estudiantes, docentes y administrativos </t>
  </si>
  <si>
    <t xml:space="preserve">Renovación de los esquemas de licenciamiento de software institucional. </t>
  </si>
  <si>
    <t>Apoyo a la investigación, la actividad de los grupos de investigación, la consecución de recursos externos, la articulación entre la investigación y la docencia, y la formación de jóvenes investigadores.</t>
  </si>
  <si>
    <t>Proceso para acreditación internacional AACSB</t>
  </si>
  <si>
    <t>Proceso para acreditación internacional ABET</t>
  </si>
  <si>
    <t>Propuestas contempladas en el ciclo de Planeación.</t>
  </si>
  <si>
    <t>Valor Matrícula 2017</t>
  </si>
  <si>
    <t>FACULTAD DE INGENIERIA</t>
  </si>
  <si>
    <t>FACULTAD DE CIENCIAS ECONOMICAS Y ADMINISTRATIVAS</t>
  </si>
  <si>
    <t>ESP. SIST. DE ING. ENF. INFORMAT.</t>
  </si>
  <si>
    <t>ESP. EN INGENIERÍA DE SOFTWARE</t>
  </si>
  <si>
    <t>ESP. EN USO EFICIENTE ENERGÍA ELÉCTRICA</t>
  </si>
  <si>
    <t>MAESTRIA EN INGENIERIA DE SOFTWARE</t>
  </si>
  <si>
    <t>MAESTRIA EN ADMINISTRACION DE EMPRESAS PASTO</t>
  </si>
  <si>
    <t>MAESTRIA EN ADMON. DE EMPRESAS PEREIRA (3a cohorte)</t>
  </si>
  <si>
    <t>MAESTRIA EN ADMON. DE EMPRESAS PEREIRA (2a cohorte)</t>
  </si>
  <si>
    <t>MAESTRIA EN ADMON. DE EMPRESAS PEREIRA (1a cohorte)</t>
  </si>
  <si>
    <t>MAESTRIA EN PSICOLOGIA DE LA SALUD</t>
  </si>
  <si>
    <t>MAESTRÍA EN EDUCACIÓN</t>
  </si>
  <si>
    <t>Maestría en Asesoría Familiar (Virtual) COP</t>
  </si>
  <si>
    <t>PREPARATORIOS CARRERA DE DERECHO</t>
  </si>
  <si>
    <t>Con IPC</t>
  </si>
  <si>
    <t>% Segunda Fecha de Pago</t>
  </si>
  <si>
    <t>Valor Segunda Fecha de Pago</t>
  </si>
  <si>
    <t>% Tercera Fecha de Pago</t>
  </si>
  <si>
    <t>Valor Tercera Fecha de Pago</t>
  </si>
  <si>
    <t>Ingresos sin incremento Primer Periodo</t>
  </si>
  <si>
    <t>Mayor (Menor) valor Primer Periodo</t>
  </si>
  <si>
    <t>Ingresos sin incremento Segundo Periodo</t>
  </si>
  <si>
    <t>Mayor (Menor) valor Segundo Periodo</t>
  </si>
  <si>
    <t>Total mayor (menor) valor al IPC</t>
  </si>
  <si>
    <t>PREGRADO</t>
  </si>
  <si>
    <t>TOTAL PREGRADO</t>
  </si>
  <si>
    <t>-</t>
  </si>
  <si>
    <t>% PROMEDIO DE INCREMENTO DE MATRÍCULAS PREGRADO</t>
  </si>
  <si>
    <t>POSGRADO</t>
  </si>
  <si>
    <t>TOTAL POSGRADO</t>
  </si>
  <si>
    <t>TOTAL PONTIFICIA UNIVERSIDAD JAVERIANA</t>
  </si>
  <si>
    <t>% PROMEDIO DE INCREMENTO DE MATRÍCULAS PUJ SECCIONAL CALI</t>
  </si>
  <si>
    <t># de Creditos</t>
  </si>
  <si>
    <t>DOCTORADO EN PSICOLOGIA</t>
  </si>
  <si>
    <t>MAESTRÍA EN CIENCIAS ECONÓMICAS Y DE GESTIÓN</t>
  </si>
  <si>
    <t>DOCTORADO EN CIENCIAS ECONÓMICAS</t>
  </si>
  <si>
    <t>ESPECIALIZACIÓN EN MEDICINA DE URGENCIAS</t>
  </si>
  <si>
    <t>ESPECIALIZACIÓN EN OFTALMOLOGÍA</t>
  </si>
  <si>
    <t>Valor Matrícula 2018</t>
  </si>
  <si>
    <t>ESPECIALIZACIÓN EN  MEDICINA FAMILIAR</t>
  </si>
  <si>
    <t>MAESTRIA EN ADMINISTRACIÓN DE EMPRESAS Barranquilla (2da cohorte)</t>
  </si>
  <si>
    <t>MAESTRIA EN ADMINISTRACIÓN DE EMPRESAS Barranquilla (1da cohorte)</t>
  </si>
  <si>
    <t>% PROMEDIO DE INCREMENTO DE MATRÍCULAS POSGRADO</t>
  </si>
  <si>
    <t>Proyección Estudiantes Matriculados 2018-1</t>
  </si>
  <si>
    <t>Proyección Estudiantes Matriculados 2018-2</t>
  </si>
  <si>
    <t>Ingresos proyectados 2018-1</t>
  </si>
  <si>
    <t>Ingresos proyectados 2018-2</t>
  </si>
  <si>
    <t>Total Ingresos proyectados por matrículas 2018</t>
  </si>
  <si>
    <t>,</t>
  </si>
  <si>
    <t>Autoevaluación y acreditación de programas</t>
  </si>
  <si>
    <t>Renovación audiovisual salones. Proyectores y sonido destinados para salones de clase</t>
  </si>
  <si>
    <t>Desarrollo de software que mejoran los procesos académicos y administrativos</t>
  </si>
  <si>
    <t xml:space="preserve"> </t>
  </si>
  <si>
    <t xml:space="preserve">MATEMÁTICAS APLICADAS </t>
  </si>
  <si>
    <t xml:space="preserve">BIOLOGÍA </t>
  </si>
  <si>
    <t xml:space="preserve">CIENCIAS POLÍTICAS </t>
  </si>
  <si>
    <t xml:space="preserve">COMUNICACIÓN </t>
  </si>
  <si>
    <t xml:space="preserve">DISEÑO DE COMUNICACIÓN VISUAL </t>
  </si>
  <si>
    <t xml:space="preserve">ARTES VISUALES </t>
  </si>
  <si>
    <t xml:space="preserve">FILOSOFÍA </t>
  </si>
  <si>
    <t xml:space="preserve">ENFERMERIA </t>
  </si>
  <si>
    <t>permanente</t>
  </si>
  <si>
    <t>INGENIERÍA INDUSTRIAL Cohortes &lt;= 2016</t>
  </si>
  <si>
    <t>INGENIERÍA INDUSTRIAL Cohortes 2018 - 2017</t>
  </si>
  <si>
    <t>INGENIERÍA CIVIL Cohortes 2018 - 2017</t>
  </si>
  <si>
    <t>INGENIERÍA CIVIL Cohortes &lt; = 2016</t>
  </si>
  <si>
    <t>INGENIERÍA ELECTRÓNICA Cohortes 2018 - 2017</t>
  </si>
  <si>
    <t>INGENIERÍA ELECTRÓNICA Cohortes &lt; = 2016</t>
  </si>
  <si>
    <t>INGENIERÍA DE SISTEMAS Cohortes 2018 -2017</t>
  </si>
  <si>
    <t>Fuente: Oficina de contabilidad y presupuesto – Vicerrectoría Administrativa, Pontificia Universidad Javeriana - Seccional Cali.</t>
  </si>
  <si>
    <t>Maestría en Asesoría Familiar (Virtual) USD</t>
  </si>
  <si>
    <t>MAESTRIA EN ADMINISTRACIÓN DE EMPRESAS Barranquilla (3ra cohorte)</t>
  </si>
  <si>
    <t>REVISIÓN DE EXÁMENES PREGRADO (segundo calificador)</t>
  </si>
  <si>
    <t xml:space="preserve">Plan de acompañamiento Integral para los estudiantes favorecidos con las becas del gobierno nacional </t>
  </si>
  <si>
    <t>Aspectos salariales (nivelación salarial profesores y colaboradores)</t>
  </si>
  <si>
    <t xml:space="preserve">Renovación tecnológica de la red LAN, servidores Físicos </t>
  </si>
  <si>
    <t xml:space="preserve">Movilidad académica estudiantes negocios internacionales </t>
  </si>
  <si>
    <t>INGENIERÍA DE SISTEMAS Cohortes &lt; 2016</t>
  </si>
  <si>
    <t>CONTADURÍA   (N) Cohorte 2018 -2017</t>
  </si>
  <si>
    <t>CONTADURÍA   (N) Cohortes &lt; = 2016</t>
  </si>
  <si>
    <t>CONTADURÍA (D) Cohorte 2018 -2017</t>
  </si>
  <si>
    <t>CONTADURÍA (D) Cohortes &lt; =2016</t>
  </si>
  <si>
    <t>ADMINISTRACIÓN DE EMPRESAS (D) Cohorte 2018 -2017</t>
  </si>
  <si>
    <t>ADMINISTRACIÓN DE EMPRESAS (D) Cohorte 2016</t>
  </si>
  <si>
    <t>ADMINISTRACIÓN DE EMPRESAS (D) Cohortes &lt; =2015</t>
  </si>
  <si>
    <t>ECONOMÍA Cohorte 2018 -2017</t>
  </si>
  <si>
    <t>ECONOMÍA Cohorte 2016</t>
  </si>
  <si>
    <t>ECONOMÍA Cohortes &lt;=2015</t>
  </si>
  <si>
    <t>ADMINISTRACIÓN DE EMPRESAS (N) Cohorte 2018-2017</t>
  </si>
  <si>
    <t>ADMINISTRACIÓN DE EMPRESAS (N) Cohorte 2 016</t>
  </si>
  <si>
    <t>ADMINISTRACIÓN DE EMPRESAS (N) Cohortes &lt;= 2015</t>
  </si>
  <si>
    <t>NEGOCIOS INTERNACIONALES Cohortes 2018 -2016</t>
  </si>
  <si>
    <t>NEGOCIOS INTERNACIONALES Cohortes &lt; = 2015</t>
  </si>
  <si>
    <t>PSICOLOGÍA Cohorte 2018 -2017</t>
  </si>
  <si>
    <t>PSICOLOGÍA Cohortes &lt; =2016</t>
  </si>
  <si>
    <t>DERECHO Cohorte 2018 -2017</t>
  </si>
  <si>
    <t>DERECHO Cohorte 2016</t>
  </si>
  <si>
    <t>DERECHO Cohortes &lt; =2015</t>
  </si>
  <si>
    <t>ARQUITECTURA Cohorte 2018 -2017</t>
  </si>
  <si>
    <t>ARQUITECTURA Cohortes &lt;=2016</t>
  </si>
  <si>
    <t>MEDICINA Cohorte 2018 -2016</t>
  </si>
  <si>
    <t>MEDICINA Cohortes &lt; = 2015</t>
  </si>
  <si>
    <t>NUTRICION Y DIETÉTICA Cohorte 2018</t>
  </si>
  <si>
    <t>NUTRICION Y DIETÉTICA Cohorte 2017</t>
  </si>
  <si>
    <t>Nota: Debido a que hay estudiantes que pagan media matrícula y que ademas se otorgan algunos descuentos, el  ingreso total estimado por matrículas  para cada periodo no es igual a la multiplicación del número de estudiantes por el valor de la matrícula</t>
  </si>
  <si>
    <t>INSCRIPCIÓN PREGRADO</t>
  </si>
  <si>
    <t>INSCRIPCIÓN POSGRADO</t>
  </si>
  <si>
    <t>SUPLETORIOS PREGRADO, PARCIALES Y FINALES</t>
  </si>
  <si>
    <t>SUPLETORIOS POSGRADO, PARCIALES Y FINALES</t>
  </si>
  <si>
    <t>DERECHOS DE GRADO PREGRADO</t>
  </si>
  <si>
    <t>DERECHOS DE GRADO POSGRADO</t>
  </si>
  <si>
    <t>CERTIFICADOS DE ESTUDIOS PREGRADO</t>
  </si>
  <si>
    <t>CERTIFICADOS DE ESTUDIOS POSGRADO</t>
  </si>
  <si>
    <t>Codigo SNIES</t>
  </si>
  <si>
    <t>1. Actividades de incidencia social e impacto regional</t>
  </si>
  <si>
    <t>2. Bienestar institucional de la comunidad educativa</t>
  </si>
  <si>
    <t>2.1</t>
  </si>
  <si>
    <t>2.2</t>
  </si>
  <si>
    <t>1.1</t>
  </si>
  <si>
    <t>1.2</t>
  </si>
  <si>
    <t>3. Cualificación docente</t>
  </si>
  <si>
    <t>3.1</t>
  </si>
  <si>
    <t>3.2</t>
  </si>
  <si>
    <t>4. Desarrollo físico y sostenibilidad ambiental</t>
  </si>
  <si>
    <t>4.1</t>
  </si>
  <si>
    <t>4.2</t>
  </si>
  <si>
    <t>5. Desarrollo tecnológico</t>
  </si>
  <si>
    <t>5.1</t>
  </si>
  <si>
    <t>6. Infraestructura</t>
  </si>
  <si>
    <t>6.1</t>
  </si>
  <si>
    <t>6.2</t>
  </si>
  <si>
    <t>6.3</t>
  </si>
  <si>
    <t>7. Internacionalización</t>
  </si>
  <si>
    <t>7.1</t>
  </si>
  <si>
    <t>8. Inversión en planta física</t>
  </si>
  <si>
    <t>8.1</t>
  </si>
  <si>
    <t>8.2</t>
  </si>
  <si>
    <t>8.3</t>
  </si>
  <si>
    <t>9.Inversión en  muebles y enseres, maquinaria y equipo y bienes bibliográficos</t>
  </si>
  <si>
    <t>9.1</t>
  </si>
  <si>
    <t>9.2</t>
  </si>
  <si>
    <t>10. Investigación, innovación y extensión</t>
  </si>
  <si>
    <t>10.1</t>
  </si>
  <si>
    <t>11. Programas académicos</t>
  </si>
  <si>
    <t>11.1</t>
  </si>
  <si>
    <t>11.2</t>
  </si>
  <si>
    <t>11.3</t>
  </si>
  <si>
    <t>12.1</t>
  </si>
  <si>
    <t>Valores de matrícula 2018 - 2019</t>
  </si>
  <si>
    <t>INGENIERÍA MECÁNICA</t>
  </si>
  <si>
    <t>MAESTRIA EN GERENCIA DE ORGANIZACIONES DE SALUD</t>
  </si>
  <si>
    <t>ESP. DERECHO AMBIENTAL</t>
  </si>
  <si>
    <t>Nota: Debido a que hay estudiantes que pagan media matrícula y que ademas se otorgan algunos descuentos, el  ingreso total estimado por matrículas  para cada periodo no es igual a la multiplicación del número de estudiantes registrado por el valor de la matrícula</t>
  </si>
  <si>
    <t xml:space="preserve">Equipo médico científico de los laboratorios </t>
  </si>
  <si>
    <t>INSTITUTO DE ESTUDIOS INTERCULTURALES</t>
  </si>
  <si>
    <t>X</t>
  </si>
  <si>
    <t>FINANZAS</t>
  </si>
  <si>
    <t>MERCADEO</t>
  </si>
  <si>
    <t>ESPECIALIZACIÓN EN MEDICINA FORENSE</t>
  </si>
  <si>
    <t>MAESTRÍA EN POLÍTICA SOCIAL</t>
  </si>
  <si>
    <t>EQUIPO DE LABORATORIO</t>
  </si>
  <si>
    <t>Total 1532</t>
  </si>
  <si>
    <t>INGENIERÍA BIOMEDICA</t>
  </si>
  <si>
    <t>TURISMO</t>
  </si>
  <si>
    <t>GASTRONOMÍA Y ARTES CULINIARIAS</t>
  </si>
  <si>
    <t>ESPECIALIZACIÓN EN CIRUGIA ONCOLOGICA</t>
  </si>
  <si>
    <t>ESP. EN GESTIÓN DE LA ARTES Y CULTURA</t>
  </si>
  <si>
    <t>MAESTRÍA EN NEUROPSICOLOGÍA CLÍNICA</t>
  </si>
  <si>
    <t>MAESTRÍA EN COMUNICACIÓN DE LAS ORGANIZACIONES</t>
  </si>
  <si>
    <t>MAESTRÍA EN HABITAT SUSTENTABLE</t>
  </si>
  <si>
    <t>Equipo de Laboratorios</t>
  </si>
  <si>
    <t>INGENIERÍA ELECTRÓNICA Cohortes 2022 - 2017</t>
  </si>
  <si>
    <t>INGENIERÍA DE SISTEMAS Cohortes 2022 -2017</t>
  </si>
  <si>
    <t>FACULTAD DE CREACIÓN Y HABITAT</t>
  </si>
  <si>
    <t>ESPECIALIZACIÓN EN CIRUGIA DE MANO</t>
  </si>
  <si>
    <t>ESP. SIST. GERENCIALES DE INGENIERÍA</t>
  </si>
  <si>
    <t xml:space="preserve">ESP. EN LOGÍSTICA </t>
  </si>
  <si>
    <t>ESP. GERENCIA DE CONSTRUCCIONES</t>
  </si>
  <si>
    <t>MAESTRIA EN INGENIERIA DE SOFTWARE 2020-2 &gt;</t>
  </si>
  <si>
    <t>MAESTRÍA EN CIENCIA DE DATOS VIRTUAL</t>
  </si>
  <si>
    <t>MBA Barranquilla (7a cohorte) 2022</t>
  </si>
  <si>
    <t>FACULTAD DE CREACIÒN Y HABITAT</t>
  </si>
  <si>
    <t>MAESTRÍA EN DERECHOS HUMANOS Y CULTURA DE PAZ</t>
  </si>
  <si>
    <t>Proyectos 2022</t>
  </si>
  <si>
    <t>CONEXIÓN JAVERIANA</t>
  </si>
  <si>
    <t>Edificio Administrativo ala 2</t>
  </si>
  <si>
    <t>Remodelación Villa Javier para el Instituto de Estudios Interculturales</t>
  </si>
  <si>
    <t>8.4</t>
  </si>
  <si>
    <t>12. Planeación Universitaria 2022-2025</t>
  </si>
  <si>
    <t>Valor total del proyecto para 2022 (millones de pesos)</t>
  </si>
  <si>
    <t xml:space="preserve">Construcción de un sedimentador de lodos para ia recuoeración de humedales. </t>
  </si>
  <si>
    <t>Remodelación  Casa Santa Maria de los Farallones, fase II</t>
  </si>
  <si>
    <t xml:space="preserve"> Edificio de Laboratorio de OMICAS, Etapa 2</t>
  </si>
  <si>
    <t>Valor Matrícula 2023</t>
  </si>
  <si>
    <t>INGENIERÍA INDUSTRIAL Cohortes 2023 - 2017</t>
  </si>
  <si>
    <t>INGENIERÍA CIVIL Cohortes 2023 - 2017</t>
  </si>
  <si>
    <t>ADMINISTRACIÓN DE EMPRESAS (D) Cohorte 2023 -2017</t>
  </si>
  <si>
    <t>ADMINISTRACIÓN DE EMPRESAS (N) Cohorte 2023-2017</t>
  </si>
  <si>
    <t>ECONOMÍA Cohorte 2023 -2017</t>
  </si>
  <si>
    <t>NEGOCIOS INTERNACIONALES Cohortes 2023 -2016</t>
  </si>
  <si>
    <t>PSICOLOGÍA Cohorte 2023 -2017</t>
  </si>
  <si>
    <t>DERECHO Cohorte 2023 -2017</t>
  </si>
  <si>
    <t>ARQUITECTURA Cohorte 2023 -2017</t>
  </si>
  <si>
    <t>MEDICINA Cohorte 2023 -2016</t>
  </si>
  <si>
    <t>CONTADURÍA (D) Cohorte 2021 -2017</t>
  </si>
  <si>
    <t>NUTRICION Y DIETÉTICA Cohorte 2023-2022</t>
  </si>
  <si>
    <t>ESP. EN CIRUGÍA PEDIÁTRICA</t>
  </si>
  <si>
    <t>ESP. ORTOPEDIA Y TRAUMATOLOGÍA</t>
  </si>
  <si>
    <t>ESP. EN ANESTESIOLOGÍA</t>
  </si>
  <si>
    <t>Tarifa 2023</t>
  </si>
  <si>
    <t>MAESTRÍA EN ASESORÍA FAMILIAR (Virtual)</t>
  </si>
  <si>
    <t>Valor Matrícula 2024</t>
  </si>
  <si>
    <t>RECURSOS PARA INVERSIONES 2024</t>
  </si>
  <si>
    <t>Valor de los proyectos 2024</t>
  </si>
  <si>
    <t>Valores de matrícula 2023-2024</t>
  </si>
  <si>
    <t>Otros conceptos 2023-2024</t>
  </si>
  <si>
    <t>Tarifa 2024</t>
  </si>
  <si>
    <t>INGENIERÍA INDUSTRIAL Cohortes 2024</t>
  </si>
  <si>
    <t>INGENIERÍA ELECTRONICA Cohortes 2024</t>
  </si>
  <si>
    <t>INGENIERÍA DE SISTEMAS Cohortes 2024</t>
  </si>
  <si>
    <t>INGENIERÍA MECANICA Cohortes 2024</t>
  </si>
  <si>
    <t>MATEMATICAS APLICADAS Cohortes 2024</t>
  </si>
  <si>
    <t>BIOLOGÍA Cohortes 2024</t>
  </si>
  <si>
    <t>INGENIERÍA BIOMEDICA Cohortes 2024</t>
  </si>
  <si>
    <t>ADMINISTRACIÓN DE EMPRESAS (D) Cohorte 2024</t>
  </si>
  <si>
    <t>ADMINISTRACIÓN DE EMPRESAS (N) Cohorte 2024</t>
  </si>
  <si>
    <t>ECONOMÍA Cohorte 2024</t>
  </si>
  <si>
    <t>NEGOCIOS INTERNACIONALES Cohortes 2024</t>
  </si>
  <si>
    <t>FINANZAS Cohorte 2024</t>
  </si>
  <si>
    <t>MERCADEO Cohorte 2024</t>
  </si>
  <si>
    <t>TURISMO Cohorte 2024</t>
  </si>
  <si>
    <t>Proyección Estudiantes Matriculados 2024-1</t>
  </si>
  <si>
    <t>Ingresos proyectados 2024-1</t>
  </si>
  <si>
    <t>Proyección Estudiantes Matriculados 2024-2</t>
  </si>
  <si>
    <t>Ingresos proyectados 2024-2</t>
  </si>
  <si>
    <t>Total Ingresos proyectados por matrículas 2024</t>
  </si>
  <si>
    <t>PSICOLOGÍA Cohorte 2024</t>
  </si>
  <si>
    <t>DERECHO Cohorte 2024</t>
  </si>
  <si>
    <t>CIENCIAS POLÍTICAS Cohorte 2024</t>
  </si>
  <si>
    <t>COMUNICACIÓN Cohorte 2024</t>
  </si>
  <si>
    <t>FILOSOFÍA Cohorte 2024</t>
  </si>
  <si>
    <t>DISEÑO DE COMUNICACIÓN VISUAL Cohorte 2024</t>
  </si>
  <si>
    <t>ARTES VISUALES Cohorte 2024</t>
  </si>
  <si>
    <t>ARQUITECTURA Cohorte 2024</t>
  </si>
  <si>
    <t>GASTRONOMÍA Y ARTES CULINIARIAS Cohorte 2024</t>
  </si>
  <si>
    <t>MEDICINA Cohorte 2024</t>
  </si>
  <si>
    <t>ENFERMERIA Cohorte 2024</t>
  </si>
  <si>
    <t>NUTRICION Y DIETÉTICA Cohorte 2024</t>
  </si>
  <si>
    <t>MAESTRIA EN SALUD PUBLICA Cohorte 2024</t>
  </si>
  <si>
    <t>ESPECIALIZACIÓN EN OFTALMOLOGÍA Cohorte 2024</t>
  </si>
  <si>
    <t>ESPECIALIZACIÓN EN MEDICINA DE URGENCIAS Cohorte 2024</t>
  </si>
  <si>
    <t>ESPECIALIZACIÓN EN  MEDICINA FAMILIAR Cohorte 2024</t>
  </si>
  <si>
    <t>ESPECIALIZACIÓN EN MEDICINA FORENSE Cohorte 2024</t>
  </si>
  <si>
    <t>ESPECIALIZACIÓN EN CIRUGIA ONCOLOGICA Cohorte 2024</t>
  </si>
  <si>
    <t>ESPECIALIZACIÓN EN CIRUGIA DE MANO Cohorte 2024</t>
  </si>
  <si>
    <t>ESP. EN CIRUGÍA PEDIÁTRICA Cohorte 2024</t>
  </si>
  <si>
    <t>ESP. ORTOPEDIA Y TRAUMATOLOGÍA Cohorte 2024</t>
  </si>
  <si>
    <t>ESP. EN ANESTESIOLOGÍA Cohorte 2024</t>
  </si>
  <si>
    <t>ESP. SIST. GERENCIALES DE INGENIERÍA Cohorte 2024</t>
  </si>
  <si>
    <t>ESP. GERENCIA DE CONSTRUCCIONES Cohorte 2024</t>
  </si>
  <si>
    <t>ESP. EN LOGÍSTICA  Cohorte 2024</t>
  </si>
  <si>
    <t>ESP. EN INGENIERÍA DE SOFTWARE Cohorte 2024</t>
  </si>
  <si>
    <t>MAESTRÍA EN INGENIERÍA Cohorte 2024</t>
  </si>
  <si>
    <t>MAESTRIA EN INGENIERIA CIVIL Cohorte 2024</t>
  </si>
  <si>
    <t>MAESTRIA EN INGENIERIA DE SOFTWARE 2024</t>
  </si>
  <si>
    <t>MAESTRÍA EN CIENCIA DE DATOS VIRTUAL Cohorte 2024</t>
  </si>
  <si>
    <t>DOCTORADO EN INGENIERIA Cohorte 2024</t>
  </si>
  <si>
    <t>MAESTRÍA EN RESTAURACIÓN ECOLÓGICA Cohorte 2024</t>
  </si>
  <si>
    <t>MAESTRÍA EN RESTAURACIÓN ECOLÓGICA</t>
  </si>
  <si>
    <t>ESP. GERENCIA SOCIAL  Cohorte 2024</t>
  </si>
  <si>
    <t>ESP. EN FINANZAS Cohorte 2024</t>
  </si>
  <si>
    <t>ESP. EN GESTIÓN TRIBUTARIA Cohorte 2024</t>
  </si>
  <si>
    <t>MAESTRÍA EN ADMINISTRACIÓN DE EMPRESAS Cohorte 2024</t>
  </si>
  <si>
    <t>MAESTRIA EN GERENCIA DE ORGANIZACIONES DE SALUD Cohorte 2024</t>
  </si>
  <si>
    <t>MAESTRIA EN FINANZAS Cohorte 2024</t>
  </si>
  <si>
    <t>MAESTRIA EN MERCADEO Cohorte 2024</t>
  </si>
  <si>
    <t>MAESTRÍA EN CIENCIAS ECONÓMICAS Y DE GESTIÓN Cohorte 2024</t>
  </si>
  <si>
    <t>MAESTRÍA EN POLÍTICA SOCIAL Cohorte 2024</t>
  </si>
  <si>
    <t>DOCTORADO EN CIENCIAS ECONÓMICAS Cohorte 2024</t>
  </si>
  <si>
    <t>MBA Barranquilla (7a cohorte) 2024</t>
  </si>
  <si>
    <t>ESP. EN CULTURA DE PAZ. DIH Cohorte 2024</t>
  </si>
  <si>
    <t>ESP. EN DERECHO COMERCIAL Cohorte 2024</t>
  </si>
  <si>
    <t>ESP. EN PROCESOS HUMANOS Y DESARROLLO ORG. Cohorte 2024</t>
  </si>
  <si>
    <t>ESP. NEUROPSICOLOGÍA INFANTIL Cohorte 2024</t>
  </si>
  <si>
    <t>ESP. EN SEGURIDAD SOCIAL Cohorte 2024</t>
  </si>
  <si>
    <t>ESP. DERECHO AMBIENTAL Cohorte 2024</t>
  </si>
  <si>
    <t>MAESTRÍA EN DERECHOS HUMANOS Y CULTURA DE PAZ Cohorte 2024</t>
  </si>
  <si>
    <t>MAESTRIA EN DERECHO EMPRESARIAL Cohorte 2024</t>
  </si>
  <si>
    <t>MAESTRIA EN PSICOLOGIA DE LA SALUD Cohorte 2024</t>
  </si>
  <si>
    <t>MAESTRÍA EN EDUCACIÓN Cohorte 2024</t>
  </si>
  <si>
    <t>MAESTRÍA EN ASESORÍA FAMILIAR (Virtual) Cohorte 2024</t>
  </si>
  <si>
    <t>MAESTRÍA EN NEUROPSICOLOGÍA CLÍNICA Cohorte 2024</t>
  </si>
  <si>
    <t>MAESTRÍA EN COMUNICACIÓN DE LAS ORGANIZACIONES Cohorte 2024</t>
  </si>
  <si>
    <t>DOCTORADO EN PSICOLOGIA Cohorte 2024</t>
  </si>
  <si>
    <t>DOCTORADO EN ESTUDIOS PARA LA PAZ</t>
  </si>
  <si>
    <t>ESP. EN GESTIÓN DE LA ARTES Y CULTURA Cohorte 2024</t>
  </si>
  <si>
    <t>MAESTRÍA EN HABITAT SUSTENTABLE Cohorte 2024</t>
  </si>
  <si>
    <t>INGENIERÍA CIVIL Cohortes 2024</t>
  </si>
  <si>
    <t>Proyectos 2024</t>
  </si>
  <si>
    <t xml:space="preserve">Edificio Administrativo ala 2  tercer piso, Vicerrectoría Académica  </t>
  </si>
  <si>
    <t>Valor total del proyecto para 2024 (millones de pesos)</t>
  </si>
  <si>
    <t>Valores de matrícula 2024 - 2023</t>
  </si>
  <si>
    <t>Consejo Directivo de la Seccional</t>
  </si>
  <si>
    <t>Cifras en pesos colombianos</t>
  </si>
  <si>
    <t>TIPO</t>
  </si>
  <si>
    <t>Total 2023</t>
  </si>
  <si>
    <t>41</t>
  </si>
  <si>
    <t>4160</t>
  </si>
  <si>
    <t>ACTIVIDADES CONEXAS A LA EDUCACIÓN</t>
  </si>
  <si>
    <t>41600505</t>
  </si>
  <si>
    <t>Matriculas posgrado segundo</t>
  </si>
  <si>
    <t>41600506</t>
  </si>
  <si>
    <t>Seminarios Congresos y Conferencias</t>
  </si>
  <si>
    <t>41600596</t>
  </si>
  <si>
    <t>Matriculas pregrado primer</t>
  </si>
  <si>
    <t>41600598</t>
  </si>
  <si>
    <t>Matriculas pregrado segundo</t>
  </si>
  <si>
    <t>41600599</t>
  </si>
  <si>
    <t>Matriculas posgrado primer</t>
  </si>
  <si>
    <t>41600601</t>
  </si>
  <si>
    <t>Educacion continua</t>
  </si>
  <si>
    <t>41600701</t>
  </si>
  <si>
    <t>Proyectos de Investigación</t>
  </si>
  <si>
    <t>41600703</t>
  </si>
  <si>
    <t>Consultorias y Asesorias</t>
  </si>
  <si>
    <t>4160950202</t>
  </si>
  <si>
    <t>Parquederos</t>
  </si>
  <si>
    <t>4160950203</t>
  </si>
  <si>
    <t>Tienda Javeriana</t>
  </si>
  <si>
    <t>4160950207</t>
  </si>
  <si>
    <t>Ingresos concesion</t>
  </si>
  <si>
    <t>4160950210</t>
  </si>
  <si>
    <t>Ingresos Mercatería</t>
  </si>
  <si>
    <t>4160950401</t>
  </si>
  <si>
    <t>Inscripciones</t>
  </si>
  <si>
    <t>4160950403</t>
  </si>
  <si>
    <t>Carnetizacion</t>
  </si>
  <si>
    <t>4160950404</t>
  </si>
  <si>
    <t>Derechos de grado y diplomas</t>
  </si>
  <si>
    <t>4160950405</t>
  </si>
  <si>
    <t>Certificados y Constancias</t>
  </si>
  <si>
    <t>4160950406</t>
  </si>
  <si>
    <t>Derechos de secretaria</t>
  </si>
  <si>
    <t>4160950408</t>
  </si>
  <si>
    <t>Ventas libros y revistas facul</t>
  </si>
  <si>
    <t>4160950409</t>
  </si>
  <si>
    <t>Publicidad y propaganda</t>
  </si>
  <si>
    <t>4160950412</t>
  </si>
  <si>
    <t>Multas</t>
  </si>
  <si>
    <t>Total 4160</t>
  </si>
  <si>
    <t>4180</t>
  </si>
  <si>
    <t>DONACIONES</t>
  </si>
  <si>
    <t>41800596</t>
  </si>
  <si>
    <t>Donaciones</t>
  </si>
  <si>
    <t>Total 4180</t>
  </si>
  <si>
    <t>Total 41</t>
  </si>
  <si>
    <t>42</t>
  </si>
  <si>
    <t>4210</t>
  </si>
  <si>
    <t>INGRESOS FINANCIEROS</t>
  </si>
  <si>
    <t>4210050101</t>
  </si>
  <si>
    <t>Intereses Corto plazo</t>
  </si>
  <si>
    <t>4210050102</t>
  </si>
  <si>
    <t>Intereses largo plazo</t>
  </si>
  <si>
    <t>4210050204</t>
  </si>
  <si>
    <t>Intereses prestamos PUJ</t>
  </si>
  <si>
    <t>4210050308</t>
  </si>
  <si>
    <t>Inter_ Fideicomisos de invers</t>
  </si>
  <si>
    <t>4210050310</t>
  </si>
  <si>
    <t>Intereres Cartera discrecional</t>
  </si>
  <si>
    <t>4210050314</t>
  </si>
  <si>
    <t>Rendimientos Portafolio Cali</t>
  </si>
  <si>
    <t>4210050403</t>
  </si>
  <si>
    <t>Contr_ forwards venta divisas</t>
  </si>
  <si>
    <t>4210050501</t>
  </si>
  <si>
    <t>Intereses Cuentas de Ahorro</t>
  </si>
  <si>
    <t>42102001</t>
  </si>
  <si>
    <t>Diferencia en cambio</t>
  </si>
  <si>
    <t>4210950501</t>
  </si>
  <si>
    <t>Contr_ forwards compra divisas</t>
  </si>
  <si>
    <t>Total 4210</t>
  </si>
  <si>
    <t>4220</t>
  </si>
  <si>
    <t>ARRENDAMIENTOS</t>
  </si>
  <si>
    <t>42201001</t>
  </si>
  <si>
    <t>Construcciones y edificios</t>
  </si>
  <si>
    <t>Total 4220</t>
  </si>
  <si>
    <t>4250</t>
  </si>
  <si>
    <t>RECUPERACIONES</t>
  </si>
  <si>
    <t>42505001</t>
  </si>
  <si>
    <t>Reintegro otros costos y gasto</t>
  </si>
  <si>
    <t>Total 4250</t>
  </si>
  <si>
    <t>4255</t>
  </si>
  <si>
    <t>INDEMNIZACIONES</t>
  </si>
  <si>
    <t>42550501</t>
  </si>
  <si>
    <t>Por siniestros</t>
  </si>
  <si>
    <t>Total 4255</t>
  </si>
  <si>
    <t>4295</t>
  </si>
  <si>
    <t>42950501</t>
  </si>
  <si>
    <t>Aprovechamientos</t>
  </si>
  <si>
    <t>Total 4295</t>
  </si>
  <si>
    <t>Total 42</t>
  </si>
  <si>
    <t>Total 4</t>
  </si>
  <si>
    <t>51</t>
  </si>
  <si>
    <t>5105</t>
  </si>
  <si>
    <t>GASTOS DE PERSONAL</t>
  </si>
  <si>
    <t>510505</t>
  </si>
  <si>
    <t>Prestaciones Sociales</t>
  </si>
  <si>
    <t>51050602</t>
  </si>
  <si>
    <t>Sueldos de Hora Catedra</t>
  </si>
  <si>
    <t>510507</t>
  </si>
  <si>
    <t>510508</t>
  </si>
  <si>
    <t>Prestaciones HC Posgrados</t>
  </si>
  <si>
    <t>51051501</t>
  </si>
  <si>
    <t>Horas extras y recargos</t>
  </si>
  <si>
    <t>51052701</t>
  </si>
  <si>
    <t>Auxilio de transporte</t>
  </si>
  <si>
    <t>51054501</t>
  </si>
  <si>
    <t>Funerarios</t>
  </si>
  <si>
    <t>51054502</t>
  </si>
  <si>
    <t>Auxilio primaria</t>
  </si>
  <si>
    <t>51054505</t>
  </si>
  <si>
    <t>Auxilio de educacion</t>
  </si>
  <si>
    <t>51054801</t>
  </si>
  <si>
    <t>Bonificaciones</t>
  </si>
  <si>
    <t>51055101</t>
  </si>
  <si>
    <t>Dotaciones y sumin_ Trabajador</t>
  </si>
  <si>
    <t>51056301</t>
  </si>
  <si>
    <t>Prog_Formación_Prof_Javeriano</t>
  </si>
  <si>
    <t>51056302</t>
  </si>
  <si>
    <t>Prog_Formación_Empleados</t>
  </si>
  <si>
    <t>51056601</t>
  </si>
  <si>
    <t>Gastos deportivos y recreacion</t>
  </si>
  <si>
    <t>51058401</t>
  </si>
  <si>
    <t>Gastos medicos y drogas</t>
  </si>
  <si>
    <t>510594</t>
  </si>
  <si>
    <t>Salario Planta</t>
  </si>
  <si>
    <t>5105950101</t>
  </si>
  <si>
    <t>Apoyo sostenimiento Sena</t>
  </si>
  <si>
    <t>5105950201</t>
  </si>
  <si>
    <t>Celebraciones y obseq_Personal</t>
  </si>
  <si>
    <t>510596</t>
  </si>
  <si>
    <t>Hora Catédra Posgrados</t>
  </si>
  <si>
    <t>Total 5105</t>
  </si>
  <si>
    <t>5110</t>
  </si>
  <si>
    <t>HONORARIOS</t>
  </si>
  <si>
    <t>51101001</t>
  </si>
  <si>
    <t>Revisoria fiscal</t>
  </si>
  <si>
    <t>51102001</t>
  </si>
  <si>
    <t>Avaluos</t>
  </si>
  <si>
    <t>51102501</t>
  </si>
  <si>
    <t>Asesoria juridica</t>
  </si>
  <si>
    <t>51103001</t>
  </si>
  <si>
    <t>Asesoria financiera</t>
  </si>
  <si>
    <t>51103501</t>
  </si>
  <si>
    <t>Pagos nacionales</t>
  </si>
  <si>
    <t>51103502</t>
  </si>
  <si>
    <t>Pagos al exterior</t>
  </si>
  <si>
    <t>511085</t>
  </si>
  <si>
    <t>Monitores</t>
  </si>
  <si>
    <t>5110950201</t>
  </si>
  <si>
    <t>Auditoria Interna</t>
  </si>
  <si>
    <t>5110950301</t>
  </si>
  <si>
    <t>Contratos Compania de Jesus</t>
  </si>
  <si>
    <t>5110950401</t>
  </si>
  <si>
    <t>Conferenc_ cong_seminar_taller</t>
  </si>
  <si>
    <t>5110950501</t>
  </si>
  <si>
    <t>Analisis muestras</t>
  </si>
  <si>
    <t>5110950601</t>
  </si>
  <si>
    <t>Analisis y present_ informes</t>
  </si>
  <si>
    <t>5110950801</t>
  </si>
  <si>
    <t>Ases_trabajos de grado y tutor</t>
  </si>
  <si>
    <t>5110950901</t>
  </si>
  <si>
    <t>Conciertos,jurados,artistas</t>
  </si>
  <si>
    <t>5110951001</t>
  </si>
  <si>
    <t>Costos de docencia-Hospitales</t>
  </si>
  <si>
    <t>5110951101</t>
  </si>
  <si>
    <t>Elaboracion de bases de datos</t>
  </si>
  <si>
    <t>5110951201</t>
  </si>
  <si>
    <t>Diseno,grabacion,edic_digital</t>
  </si>
  <si>
    <t>5110951301</t>
  </si>
  <si>
    <t>Disenos de material y pag_ WEB</t>
  </si>
  <si>
    <t>5110951401</t>
  </si>
  <si>
    <t>Elabor_propuestas de proyectos</t>
  </si>
  <si>
    <t>5110951501</t>
  </si>
  <si>
    <t>Entrev_ admision y preparacion</t>
  </si>
  <si>
    <t>5110951601</t>
  </si>
  <si>
    <t>Mercadeo publicitario</t>
  </si>
  <si>
    <t>5110951701</t>
  </si>
  <si>
    <t>Modelos e ilustraciones</t>
  </si>
  <si>
    <t>5110951801</t>
  </si>
  <si>
    <t>Encuestas y entrevistas</t>
  </si>
  <si>
    <t>5110951901</t>
  </si>
  <si>
    <t>Realiz_calificacion examenes</t>
  </si>
  <si>
    <t>5110952001</t>
  </si>
  <si>
    <t>Traducciones y analisis de doc</t>
  </si>
  <si>
    <t>5110952101</t>
  </si>
  <si>
    <t>Corrección de Estilos, textos</t>
  </si>
  <si>
    <t>5110952201</t>
  </si>
  <si>
    <t>Diagram_ Revistas, libros, doc</t>
  </si>
  <si>
    <t>5110952301</t>
  </si>
  <si>
    <t>Correc_y traducciones Textos</t>
  </si>
  <si>
    <t>5110952401</t>
  </si>
  <si>
    <t>Apoyo Logístico actividades</t>
  </si>
  <si>
    <t>5110952601</t>
  </si>
  <si>
    <t>Evaluacion y seg proyectos</t>
  </si>
  <si>
    <t>Total 5110</t>
  </si>
  <si>
    <t>5115</t>
  </si>
  <si>
    <t>IMPUESTOS</t>
  </si>
  <si>
    <t>51150501</t>
  </si>
  <si>
    <t>Industria y comercio</t>
  </si>
  <si>
    <t>51151501</t>
  </si>
  <si>
    <t>A la propiedad raiz</t>
  </si>
  <si>
    <t>51153001</t>
  </si>
  <si>
    <t>De turismo</t>
  </si>
  <si>
    <t>51154001</t>
  </si>
  <si>
    <t>De vehiculos</t>
  </si>
  <si>
    <t>51159501</t>
  </si>
  <si>
    <t>Gravamen movimientos financier</t>
  </si>
  <si>
    <t>51159504</t>
  </si>
  <si>
    <t>Impuestos asumidos</t>
  </si>
  <si>
    <t>Total 5115</t>
  </si>
  <si>
    <t>5120</t>
  </si>
  <si>
    <t>51200501</t>
  </si>
  <si>
    <t>Arrrend Terrenos</t>
  </si>
  <si>
    <t>51201001</t>
  </si>
  <si>
    <t>51201501</t>
  </si>
  <si>
    <t>51202001</t>
  </si>
  <si>
    <t>Equipo de oficina</t>
  </si>
  <si>
    <t>51202501</t>
  </si>
  <si>
    <t>Equipo computacion y comunicac</t>
  </si>
  <si>
    <t>51203501</t>
  </si>
  <si>
    <t>Equipo de hoteles y restaurant</t>
  </si>
  <si>
    <t>Total 5120</t>
  </si>
  <si>
    <t>5125</t>
  </si>
  <si>
    <t>CONTRIBUCIONES Y AFILIACIONES</t>
  </si>
  <si>
    <t>51250501</t>
  </si>
  <si>
    <t>Contribuciones</t>
  </si>
  <si>
    <t>51250502</t>
  </si>
  <si>
    <t>Fondo sostenibilidad ICETEX</t>
  </si>
  <si>
    <t>51251001</t>
  </si>
  <si>
    <t>Afiliaciones y sostenimiento</t>
  </si>
  <si>
    <t>Total 5125</t>
  </si>
  <si>
    <t>5130</t>
  </si>
  <si>
    <t>SEGUROS</t>
  </si>
  <si>
    <t>51301001</t>
  </si>
  <si>
    <t>Seg Cumplimiento</t>
  </si>
  <si>
    <t>51302001</t>
  </si>
  <si>
    <t>Vida colectiva</t>
  </si>
  <si>
    <t>51304001</t>
  </si>
  <si>
    <t>Flota y equipo de transporte</t>
  </si>
  <si>
    <t>51306001</t>
  </si>
  <si>
    <t>Resp_civil y extracontractual</t>
  </si>
  <si>
    <t>51306501</t>
  </si>
  <si>
    <t>Seg Vuelo</t>
  </si>
  <si>
    <t>51307501</t>
  </si>
  <si>
    <t>Obligatorio accidente transito</t>
  </si>
  <si>
    <t>51308501</t>
  </si>
  <si>
    <t>Transporte de mercancia</t>
  </si>
  <si>
    <t>51309501</t>
  </si>
  <si>
    <t>Infidelidad y riesgos finan</t>
  </si>
  <si>
    <t>51309502</t>
  </si>
  <si>
    <t>Todo riesgo</t>
  </si>
  <si>
    <t>51309503</t>
  </si>
  <si>
    <t>Seguro medico</t>
  </si>
  <si>
    <t>51309504</t>
  </si>
  <si>
    <t>Riesgos profesionales estudian</t>
  </si>
  <si>
    <t>Total 5130</t>
  </si>
  <si>
    <t>5135</t>
  </si>
  <si>
    <t>SERVICIOS</t>
  </si>
  <si>
    <t>51350501</t>
  </si>
  <si>
    <t>Aseo</t>
  </si>
  <si>
    <t>51350502</t>
  </si>
  <si>
    <t>Vigilancia</t>
  </si>
  <si>
    <t>51351001</t>
  </si>
  <si>
    <t>Temporales</t>
  </si>
  <si>
    <t>51351501</t>
  </si>
  <si>
    <t>Serv_Asist_Tec_Nal</t>
  </si>
  <si>
    <t>51352001</t>
  </si>
  <si>
    <t>Proces_ electronico de datos</t>
  </si>
  <si>
    <t>51352501</t>
  </si>
  <si>
    <t>Acueducto y alcantarillado</t>
  </si>
  <si>
    <t>51353001</t>
  </si>
  <si>
    <t>Energia electrica</t>
  </si>
  <si>
    <t>51353501</t>
  </si>
  <si>
    <t>Telefono</t>
  </si>
  <si>
    <t>51354001</t>
  </si>
  <si>
    <t>Correo, portes y telegramas</t>
  </si>
  <si>
    <t>51355001</t>
  </si>
  <si>
    <t>Transporte, fletes y acarreos</t>
  </si>
  <si>
    <t>51355501</t>
  </si>
  <si>
    <t>Gas</t>
  </si>
  <si>
    <t>51356001</t>
  </si>
  <si>
    <t>Publicidad pregrado</t>
  </si>
  <si>
    <t>51356002</t>
  </si>
  <si>
    <t>Publicidad posgrado</t>
  </si>
  <si>
    <t>51356003</t>
  </si>
  <si>
    <t>Publicidad institucional</t>
  </si>
  <si>
    <t>51356004</t>
  </si>
  <si>
    <t>Publicidad educacion continua</t>
  </si>
  <si>
    <t>51359501</t>
  </si>
  <si>
    <t>Trans_datos-internet y redes</t>
  </si>
  <si>
    <t>51359502</t>
  </si>
  <si>
    <t>Administracion bodegas</t>
  </si>
  <si>
    <t>51359503</t>
  </si>
  <si>
    <t>Servicios de mesero</t>
  </si>
  <si>
    <t>51359504</t>
  </si>
  <si>
    <t>Servicios certificados digital</t>
  </si>
  <si>
    <t>51359506</t>
  </si>
  <si>
    <t>Fotografias y videos</t>
  </si>
  <si>
    <t>51359507</t>
  </si>
  <si>
    <t>Montaje stands, manejo de even</t>
  </si>
  <si>
    <t>51359508</t>
  </si>
  <si>
    <t>Restauracion libros biblioteca</t>
  </si>
  <si>
    <t>51359509</t>
  </si>
  <si>
    <t>Arbitrajes deportivos</t>
  </si>
  <si>
    <t>51359511</t>
  </si>
  <si>
    <t>Coord salidas de campo-museos</t>
  </si>
  <si>
    <t>51359512</t>
  </si>
  <si>
    <t>Servicio de Call Center</t>
  </si>
  <si>
    <t>51359513</t>
  </si>
  <si>
    <t>Empaste y argollado</t>
  </si>
  <si>
    <t>51359515</t>
  </si>
  <si>
    <t>Laboratorios y examenes</t>
  </si>
  <si>
    <t>Total 5135</t>
  </si>
  <si>
    <t>5140</t>
  </si>
  <si>
    <t>GASTOS LEGALES</t>
  </si>
  <si>
    <t>51400501</t>
  </si>
  <si>
    <t>Notariales</t>
  </si>
  <si>
    <t>51401501</t>
  </si>
  <si>
    <t>Tramites y licencias</t>
  </si>
  <si>
    <t>51402001</t>
  </si>
  <si>
    <t>Aduaneros</t>
  </si>
  <si>
    <t>51402501</t>
  </si>
  <si>
    <t>Consulares</t>
  </si>
  <si>
    <t>Total 5140</t>
  </si>
  <si>
    <t>5145</t>
  </si>
  <si>
    <t>MANTENIMIENTO Y REPARACIONES</t>
  </si>
  <si>
    <t>51451001</t>
  </si>
  <si>
    <t>51451501</t>
  </si>
  <si>
    <t>51452001</t>
  </si>
  <si>
    <t>51452501</t>
  </si>
  <si>
    <t>51453001</t>
  </si>
  <si>
    <t>Equipo medico-cientifico</t>
  </si>
  <si>
    <t>51454001</t>
  </si>
  <si>
    <t>51456001</t>
  </si>
  <si>
    <t>Acueductos, plantas y redes</t>
  </si>
  <si>
    <t>51457501</t>
  </si>
  <si>
    <t>Materiales reparac y mantenim</t>
  </si>
  <si>
    <t>Total 5145</t>
  </si>
  <si>
    <t>5150</t>
  </si>
  <si>
    <t>ADECUACIÓN E INSTALACIÓN</t>
  </si>
  <si>
    <t>51500501</t>
  </si>
  <si>
    <t>Instalaciones eléctricas</t>
  </si>
  <si>
    <t>51501001</t>
  </si>
  <si>
    <t>Arreglos ornamentales</t>
  </si>
  <si>
    <t>51501501</t>
  </si>
  <si>
    <t>Reparaciones locativas</t>
  </si>
  <si>
    <t>51509501</t>
  </si>
  <si>
    <t>Otras Adecuaciones e Instal</t>
  </si>
  <si>
    <t>Total 5150</t>
  </si>
  <si>
    <t>5155</t>
  </si>
  <si>
    <t>GASTOS DE VIAJE</t>
  </si>
  <si>
    <t>51550501</t>
  </si>
  <si>
    <t>Alojamiento y manutencion</t>
  </si>
  <si>
    <t>51551001</t>
  </si>
  <si>
    <t>Pasajes fluviales y/o maritimo</t>
  </si>
  <si>
    <t>51551501</t>
  </si>
  <si>
    <t>Pasajes aereos</t>
  </si>
  <si>
    <t>51552001</t>
  </si>
  <si>
    <t>Pasajes terrestres</t>
  </si>
  <si>
    <t>Total 5155</t>
  </si>
  <si>
    <t>5160</t>
  </si>
  <si>
    <t>DEPRECIACIONES</t>
  </si>
  <si>
    <t>516096</t>
  </si>
  <si>
    <t>Depreciaciones</t>
  </si>
  <si>
    <t>Total 5160</t>
  </si>
  <si>
    <t>5195</t>
  </si>
  <si>
    <t>DIVERSOS</t>
  </si>
  <si>
    <t>51950501</t>
  </si>
  <si>
    <t>Comisiones</t>
  </si>
  <si>
    <t>51951001</t>
  </si>
  <si>
    <t>Libros,suscrip_period y revist</t>
  </si>
  <si>
    <t>51952001</t>
  </si>
  <si>
    <t>Gastos repres_ y relac_ Pub</t>
  </si>
  <si>
    <t>51952501</t>
  </si>
  <si>
    <t>Elementos de aseo</t>
  </si>
  <si>
    <t>51952502</t>
  </si>
  <si>
    <t>Elementos de cafeteria</t>
  </si>
  <si>
    <t>51953001</t>
  </si>
  <si>
    <t>utiles y dotacion de oficina</t>
  </si>
  <si>
    <t>51953002</t>
  </si>
  <si>
    <t>Papeleria</t>
  </si>
  <si>
    <t>51953003</t>
  </si>
  <si>
    <t>Fotocopias</t>
  </si>
  <si>
    <t>51953004</t>
  </si>
  <si>
    <t>Elem_ Eq_ impresion y proyecc</t>
  </si>
  <si>
    <t>51953501</t>
  </si>
  <si>
    <t>Combustibles y lubricantes</t>
  </si>
  <si>
    <t>51954001</t>
  </si>
  <si>
    <t>Envases y empaques</t>
  </si>
  <si>
    <t>51954501</t>
  </si>
  <si>
    <t>Taxis y buses</t>
  </si>
  <si>
    <t>51955001</t>
  </si>
  <si>
    <t>Estampillas</t>
  </si>
  <si>
    <t>51956001</t>
  </si>
  <si>
    <t>Restaurante</t>
  </si>
  <si>
    <t>51956501</t>
  </si>
  <si>
    <t>Parqueaderos</t>
  </si>
  <si>
    <t>51957001</t>
  </si>
  <si>
    <t>Indemn_ por daños a terceros</t>
  </si>
  <si>
    <t>5195950101</t>
  </si>
  <si>
    <t>Beca Universidad Javeriana</t>
  </si>
  <si>
    <t>5195950301</t>
  </si>
  <si>
    <t>Impresion de libros</t>
  </si>
  <si>
    <t>5195950302</t>
  </si>
  <si>
    <t>Impresion de revistas</t>
  </si>
  <si>
    <t>5195950303</t>
  </si>
  <si>
    <t>Folletos y volantes</t>
  </si>
  <si>
    <t>5195950304</t>
  </si>
  <si>
    <t>Public_Diario Oficial y Gaceta</t>
  </si>
  <si>
    <t>5195950401</t>
  </si>
  <si>
    <t>Apoyo economico a estudiantes</t>
  </si>
  <si>
    <t>5195950403</t>
  </si>
  <si>
    <t>Inscrip. a Seminari Congr Etc</t>
  </si>
  <si>
    <t>5195950404</t>
  </si>
  <si>
    <t>Excedentes Otros Cursos</t>
  </si>
  <si>
    <t>5195950405</t>
  </si>
  <si>
    <t>Convenio Educativo</t>
  </si>
  <si>
    <t>5195950406</t>
  </si>
  <si>
    <t>Apoyo Económico a Pilo_paga</t>
  </si>
  <si>
    <t>5195950501</t>
  </si>
  <si>
    <t>Materiales y sum_dependencias</t>
  </si>
  <si>
    <t>5195950502</t>
  </si>
  <si>
    <t>Material ensenanza para estud</t>
  </si>
  <si>
    <t>5195950503</t>
  </si>
  <si>
    <t>Reactivos quim_y elem_de labor</t>
  </si>
  <si>
    <t>5195950601</t>
  </si>
  <si>
    <t>Implementos deportivos</t>
  </si>
  <si>
    <t>5195950603</t>
  </si>
  <si>
    <t>Inscripcion eventos deportivos</t>
  </si>
  <si>
    <t>5195950701</t>
  </si>
  <si>
    <t>Gastos de Capilla</t>
  </si>
  <si>
    <t>5195950702</t>
  </si>
  <si>
    <t>Eventos y celeb_(fin de año)</t>
  </si>
  <si>
    <t>5195950704</t>
  </si>
  <si>
    <t>Premios</t>
  </si>
  <si>
    <t>519595080</t>
  </si>
  <si>
    <t>PROYECTOS Y EVENTOS</t>
  </si>
  <si>
    <t>5195950801</t>
  </si>
  <si>
    <t>Licencias</t>
  </si>
  <si>
    <t>5195950802</t>
  </si>
  <si>
    <t>Programas para computador</t>
  </si>
  <si>
    <t>519595081</t>
  </si>
  <si>
    <t>COSTOS DE DIPLOMADOS</t>
  </si>
  <si>
    <t>519595082</t>
  </si>
  <si>
    <t>COSTOS PROYECTOS CONSULTORIA</t>
  </si>
  <si>
    <t>51959580</t>
  </si>
  <si>
    <t>Gastos Admon Proy Docencia</t>
  </si>
  <si>
    <t>Total 5195</t>
  </si>
  <si>
    <t>5199</t>
  </si>
  <si>
    <t>PROVISIONES</t>
  </si>
  <si>
    <t>51991001</t>
  </si>
  <si>
    <t>Cartera corto plazo</t>
  </si>
  <si>
    <t>51991002</t>
  </si>
  <si>
    <t>Cartera largo plazo</t>
  </si>
  <si>
    <t>51991003</t>
  </si>
  <si>
    <t>Cartera institucional</t>
  </si>
  <si>
    <t>Total 5199</t>
  </si>
  <si>
    <t>Total 51</t>
  </si>
  <si>
    <t>53</t>
  </si>
  <si>
    <t>5305</t>
  </si>
  <si>
    <t>GASTOS FINANCIEROS</t>
  </si>
  <si>
    <t>53050501</t>
  </si>
  <si>
    <t>Gastos bancarios</t>
  </si>
  <si>
    <t>53051501</t>
  </si>
  <si>
    <t>Cheques y chequeras</t>
  </si>
  <si>
    <t>53051502</t>
  </si>
  <si>
    <t>Consignacion nacional</t>
  </si>
  <si>
    <t>53051503</t>
  </si>
  <si>
    <t>Tarjetas de credito</t>
  </si>
  <si>
    <t>53051505</t>
  </si>
  <si>
    <t>Traslado de fondos</t>
  </si>
  <si>
    <t>53051506</t>
  </si>
  <si>
    <t>Otras comisiones</t>
  </si>
  <si>
    <t>53052001</t>
  </si>
  <si>
    <t>Intereses</t>
  </si>
  <si>
    <t>53052501</t>
  </si>
  <si>
    <t>Total 5305</t>
  </si>
  <si>
    <t>5310</t>
  </si>
  <si>
    <t>PERDIDA VENTA Y RETIRO BIENES</t>
  </si>
  <si>
    <t>53109501</t>
  </si>
  <si>
    <t>Inventario Tienda</t>
  </si>
  <si>
    <t>Total 5310</t>
  </si>
  <si>
    <t>5315</t>
  </si>
  <si>
    <t>GASTOS EXTRAORDINARIOS</t>
  </si>
  <si>
    <t>53152001</t>
  </si>
  <si>
    <t>Total 5315</t>
  </si>
  <si>
    <t>5395</t>
  </si>
  <si>
    <t>OTROS GASTOS FINANCIEROS</t>
  </si>
  <si>
    <t>53952001</t>
  </si>
  <si>
    <t>Multas, sanciones y litigios</t>
  </si>
  <si>
    <t>53952501</t>
  </si>
  <si>
    <t>Total 5395</t>
  </si>
  <si>
    <t>Total 53</t>
  </si>
  <si>
    <t>54</t>
  </si>
  <si>
    <t>5405</t>
  </si>
  <si>
    <t>IMPUESTO DE RENTA</t>
  </si>
  <si>
    <t>54050501</t>
  </si>
  <si>
    <t>Impuesto de Renta y Complement</t>
  </si>
  <si>
    <t>Total 5405</t>
  </si>
  <si>
    <t>Total 54</t>
  </si>
  <si>
    <t>Total 5</t>
  </si>
  <si>
    <t>61</t>
  </si>
  <si>
    <t>6160</t>
  </si>
  <si>
    <t>COSTO DE VENTAS</t>
  </si>
  <si>
    <t>616095</t>
  </si>
  <si>
    <t>Inventario Tienda Javeriana</t>
  </si>
  <si>
    <t>Total 6160</t>
  </si>
  <si>
    <t>Total 61</t>
  </si>
  <si>
    <t>Total 5 y 6</t>
  </si>
  <si>
    <t>TOTAL GASTOS Y COSTOS</t>
  </si>
  <si>
    <t>PRESUPUESTO APROBADO 2024</t>
  </si>
  <si>
    <t>12 de diciembre de 2023</t>
  </si>
  <si>
    <t>4210050201</t>
  </si>
  <si>
    <t>Intereses Vivienda</t>
  </si>
  <si>
    <t>51303501</t>
  </si>
  <si>
    <t>Sustraccion y hurto</t>
  </si>
  <si>
    <t>Otros Conceptos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</si>
</sst>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&quot;$&quot;#,##0.0"/>
    <numFmt numFmtId="169" formatCode="_(* #,##0_);_(* \(#,##0\);_(* &quot;-&quot;??_);_(@_)"/>
    <numFmt numFmtId="170" formatCode="_-&quot;$&quot;* #,##0_-;\-&quot;$&quot;* #,##0_-;_-&quot;$&quot;* &quot;-&quot;??_-;_-@_-"/>
    <numFmt numFmtId="171" formatCode="0.0%"/>
    <numFmt numFmtId="172" formatCode="&quot;$&quot;#,##0"/>
    <numFmt numFmtId="173" formatCode="&quot;$&quot;\ #,##0.0"/>
    <numFmt numFmtId="174" formatCode="_-* #,##0_-;\-* #,##0_-;_-* &quot;-&quot;??_-;_-@_-"/>
    <numFmt numFmtId="175" formatCode="0.00000%"/>
  </numFmts>
  <fonts count="3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b/>
      <sz val="16"/>
      <color rgb="FF0062A1"/>
      <name val="Verdana"/>
      <family val="2"/>
    </font>
    <font>
      <sz val="14"/>
      <color rgb="FF0062A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Arial"/>
      <family val="2"/>
    </font>
    <font>
      <u/>
      <sz val="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 style="medium">
        <color theme="4" tint="-0.24994659260841701"/>
      </left>
      <right style="medium">
        <color theme="4" tint="-0.24994659260841701"/>
      </right>
      <top style="hair">
        <color theme="4" tint="0.59996337778862885"/>
      </top>
      <bottom style="hair">
        <color theme="4" tint="0.59996337778862885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8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8"/>
      </left>
      <right style="medium">
        <color theme="4" tint="-0.24994659260841701"/>
      </right>
      <top style="thin">
        <color indexed="64"/>
      </top>
      <bottom style="hair">
        <color theme="4" tint="-0.24994659260841701"/>
      </bottom>
      <diagonal/>
    </border>
    <border>
      <left style="medium">
        <color theme="8"/>
      </left>
      <right style="medium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theme="8"/>
      </left>
      <right style="medium">
        <color theme="4" tint="-0.24994659260841701"/>
      </right>
      <top style="hair">
        <color theme="4" tint="0.59996337778862885"/>
      </top>
      <bottom style="hair">
        <color theme="4" tint="0.59996337778862885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4" fillId="0" borderId="0"/>
    <xf numFmtId="167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6" borderId="0">
      <alignment horizontal="left" vertical="center" indent="1"/>
    </xf>
    <xf numFmtId="0" fontId="2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4" fillId="0" borderId="0"/>
    <xf numFmtId="41" fontId="5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9" fontId="0" fillId="0" borderId="0" xfId="1" applyNumberFormat="1" applyFont="1"/>
    <xf numFmtId="0" fontId="15" fillId="0" borderId="0" xfId="3" applyFont="1" applyAlignment="1">
      <alignment horizontal="left"/>
    </xf>
    <xf numFmtId="0" fontId="18" fillId="0" borderId="29" xfId="0" applyFont="1" applyBorder="1"/>
    <xf numFmtId="3" fontId="18" fillId="0" borderId="29" xfId="0" applyNumberFormat="1" applyFont="1" applyBorder="1"/>
    <xf numFmtId="0" fontId="17" fillId="0" borderId="0" xfId="3" applyFont="1"/>
    <xf numFmtId="0" fontId="14" fillId="0" borderId="0" xfId="8"/>
    <xf numFmtId="10" fontId="14" fillId="0" borderId="0" xfId="8" applyNumberFormat="1"/>
    <xf numFmtId="0" fontId="15" fillId="0" borderId="0" xfId="3" applyFont="1" applyAlignment="1">
      <alignment horizontal="center"/>
    </xf>
    <xf numFmtId="173" fontId="0" fillId="0" borderId="0" xfId="0" applyNumberFormat="1"/>
    <xf numFmtId="0" fontId="20" fillId="2" borderId="0" xfId="0" applyFont="1" applyFill="1"/>
    <xf numFmtId="0" fontId="20" fillId="5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6" borderId="0" xfId="11">
      <alignment horizontal="left" vertical="center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1" fillId="2" borderId="25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17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168" fontId="0" fillId="2" borderId="3" xfId="0" applyNumberFormat="1" applyFill="1" applyBorder="1" applyAlignment="1">
      <alignment horizontal="center" vertical="center"/>
    </xf>
    <xf numFmtId="0" fontId="0" fillId="2" borderId="13" xfId="0" applyFill="1" applyBorder="1"/>
    <xf numFmtId="0" fontId="2" fillId="2" borderId="10" xfId="0" applyFont="1" applyFill="1" applyBorder="1" applyAlignment="1">
      <alignment horizontal="justify" vertical="center" wrapText="1"/>
    </xf>
    <xf numFmtId="1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68" fontId="0" fillId="2" borderId="14" xfId="0" applyNumberFormat="1" applyFill="1" applyBorder="1" applyAlignment="1">
      <alignment horizontal="center" vertical="center"/>
    </xf>
    <xf numFmtId="168" fontId="1" fillId="2" borderId="17" xfId="0" applyNumberFormat="1" applyFont="1" applyFill="1" applyBorder="1" applyAlignment="1">
      <alignment horizontal="center" vertical="center"/>
    </xf>
    <xf numFmtId="0" fontId="0" fillId="2" borderId="35" xfId="0" applyFill="1" applyBorder="1"/>
    <xf numFmtId="0" fontId="2" fillId="2" borderId="36" xfId="0" applyFont="1" applyFill="1" applyBorder="1" applyAlignment="1">
      <alignment horizontal="justify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7" xfId="0" applyFill="1" applyBorder="1"/>
    <xf numFmtId="168" fontId="0" fillId="2" borderId="37" xfId="0" applyNumberFormat="1" applyFill="1" applyBorder="1" applyAlignment="1">
      <alignment horizontal="center" vertical="center"/>
    </xf>
    <xf numFmtId="168" fontId="1" fillId="2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 wrapText="1"/>
    </xf>
    <xf numFmtId="172" fontId="1" fillId="2" borderId="7" xfId="0" applyNumberFormat="1" applyFont="1" applyFill="1" applyBorder="1" applyAlignment="1">
      <alignment horizontal="center" vertical="center"/>
    </xf>
    <xf numFmtId="0" fontId="0" fillId="2" borderId="34" xfId="0" applyFill="1" applyBorder="1"/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/>
    <xf numFmtId="168" fontId="0" fillId="2" borderId="33" xfId="0" applyNumberFormat="1" applyFill="1" applyBorder="1" applyAlignment="1">
      <alignment horizontal="center" vertical="center"/>
    </xf>
    <xf numFmtId="17" fontId="0" fillId="2" borderId="27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justify" vertical="center" wrapText="1"/>
    </xf>
    <xf numFmtId="0" fontId="2" fillId="2" borderId="30" xfId="0" applyFont="1" applyFill="1" applyBorder="1" applyAlignment="1">
      <alignment horizontal="justify" vertical="center" wrapText="1"/>
    </xf>
    <xf numFmtId="0" fontId="1" fillId="2" borderId="6" xfId="0" applyFont="1" applyFill="1" applyBorder="1"/>
    <xf numFmtId="0" fontId="0" fillId="2" borderId="20" xfId="0" applyFill="1" applyBorder="1"/>
    <xf numFmtId="0" fontId="0" fillId="2" borderId="32" xfId="0" applyFill="1" applyBorder="1"/>
    <xf numFmtId="168" fontId="4" fillId="2" borderId="3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4" borderId="1" xfId="0" applyFill="1" applyBorder="1"/>
    <xf numFmtId="3" fontId="0" fillId="4" borderId="1" xfId="0" applyNumberFormat="1" applyFill="1" applyBorder="1"/>
    <xf numFmtId="0" fontId="24" fillId="0" borderId="0" xfId="12"/>
    <xf numFmtId="0" fontId="0" fillId="2" borderId="40" xfId="0" applyFill="1" applyBorder="1"/>
    <xf numFmtId="168" fontId="0" fillId="2" borderId="25" xfId="0" applyNumberForma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1" xfId="0" applyFill="1" applyBorder="1"/>
    <xf numFmtId="0" fontId="13" fillId="0" borderId="0" xfId="0" applyFont="1" applyAlignment="1">
      <alignment horizontal="center"/>
    </xf>
    <xf numFmtId="0" fontId="16" fillId="0" borderId="42" xfId="0" applyFont="1" applyBorder="1"/>
    <xf numFmtId="0" fontId="16" fillId="0" borderId="42" xfId="0" applyFont="1" applyBorder="1" applyAlignment="1">
      <alignment horizontal="center"/>
    </xf>
    <xf numFmtId="172" fontId="14" fillId="0" borderId="42" xfId="0" applyNumberFormat="1" applyFont="1" applyBorder="1" applyAlignment="1">
      <alignment horizontal="center"/>
    </xf>
    <xf numFmtId="0" fontId="13" fillId="0" borderId="0" xfId="3" applyFont="1"/>
    <xf numFmtId="0" fontId="25" fillId="0" borderId="39" xfId="0" applyFont="1" applyBorder="1" applyAlignment="1">
      <alignment horizontal="center"/>
    </xf>
    <xf numFmtId="0" fontId="26" fillId="2" borderId="5" xfId="3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70" fontId="27" fillId="0" borderId="6" xfId="13" applyNumberFormat="1" applyFont="1" applyFill="1" applyBorder="1" applyAlignment="1">
      <alignment horizontal="center" vertical="center" wrapText="1"/>
    </xf>
    <xf numFmtId="170" fontId="27" fillId="0" borderId="7" xfId="13" applyNumberFormat="1" applyFont="1" applyFill="1" applyBorder="1" applyAlignment="1">
      <alignment horizontal="center" vertical="center" wrapText="1"/>
    </xf>
    <xf numFmtId="10" fontId="13" fillId="0" borderId="1" xfId="10" applyNumberFormat="1" applyFont="1" applyBorder="1"/>
    <xf numFmtId="0" fontId="25" fillId="7" borderId="8" xfId="0" applyFont="1" applyFill="1" applyBorder="1" applyAlignment="1">
      <alignment vertical="center"/>
    </xf>
    <xf numFmtId="0" fontId="25" fillId="7" borderId="20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172" fontId="14" fillId="0" borderId="0" xfId="0" applyNumberFormat="1" applyFont="1" applyAlignment="1">
      <alignment horizontal="center"/>
    </xf>
    <xf numFmtId="171" fontId="28" fillId="0" borderId="1" xfId="10" applyNumberFormat="1" applyFont="1" applyBorder="1" applyAlignment="1">
      <alignment horizontal="center"/>
    </xf>
    <xf numFmtId="172" fontId="28" fillId="0" borderId="1" xfId="13" applyNumberFormat="1" applyFont="1" applyBorder="1"/>
    <xf numFmtId="10" fontId="14" fillId="0" borderId="0" xfId="10" applyNumberFormat="1" applyFont="1" applyBorder="1"/>
    <xf numFmtId="0" fontId="25" fillId="7" borderId="31" xfId="0" applyFont="1" applyFill="1" applyBorder="1" applyAlignment="1">
      <alignment horizontal="left" vertical="center"/>
    </xf>
    <xf numFmtId="172" fontId="9" fillId="7" borderId="2" xfId="0" applyNumberFormat="1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25" fillId="7" borderId="12" xfId="0" applyFont="1" applyFill="1" applyBorder="1" applyAlignment="1">
      <alignment horizontal="left" vertical="center"/>
    </xf>
    <xf numFmtId="174" fontId="25" fillId="7" borderId="2" xfId="1" applyNumberFormat="1" applyFont="1" applyFill="1" applyBorder="1" applyAlignment="1">
      <alignment horizontal="center"/>
    </xf>
    <xf numFmtId="172" fontId="25" fillId="7" borderId="2" xfId="0" applyNumberFormat="1" applyFont="1" applyFill="1" applyBorder="1" applyAlignment="1">
      <alignment horizontal="center"/>
    </xf>
    <xf numFmtId="0" fontId="25" fillId="7" borderId="19" xfId="0" applyFont="1" applyFill="1" applyBorder="1" applyAlignment="1">
      <alignment horizontal="left" vertical="center"/>
    </xf>
    <xf numFmtId="170" fontId="25" fillId="7" borderId="51" xfId="0" applyNumberFormat="1" applyFont="1" applyFill="1" applyBorder="1" applyAlignment="1">
      <alignment horizontal="center"/>
    </xf>
    <xf numFmtId="0" fontId="25" fillId="7" borderId="52" xfId="0" applyFont="1" applyFill="1" applyBorder="1" applyAlignment="1">
      <alignment horizontal="center"/>
    </xf>
    <xf numFmtId="10" fontId="25" fillId="7" borderId="53" xfId="10" applyNumberFormat="1" applyFont="1" applyFill="1" applyBorder="1" applyAlignment="1">
      <alignment horizontal="center" vertical="center"/>
    </xf>
    <xf numFmtId="0" fontId="25" fillId="7" borderId="53" xfId="0" applyFont="1" applyFill="1" applyBorder="1" applyAlignment="1">
      <alignment horizontal="left" vertical="center"/>
    </xf>
    <xf numFmtId="3" fontId="25" fillId="7" borderId="51" xfId="13" applyNumberFormat="1" applyFont="1" applyFill="1" applyBorder="1" applyAlignment="1">
      <alignment horizontal="center" vertical="center"/>
    </xf>
    <xf numFmtId="172" fontId="25" fillId="7" borderId="51" xfId="13" applyNumberFormat="1" applyFont="1" applyFill="1" applyBorder="1" applyAlignment="1">
      <alignment horizontal="center"/>
    </xf>
    <xf numFmtId="0" fontId="28" fillId="7" borderId="52" xfId="0" applyFont="1" applyFill="1" applyBorder="1" applyAlignment="1">
      <alignment horizontal="center"/>
    </xf>
    <xf numFmtId="0" fontId="16" fillId="0" borderId="12" xfId="0" applyFont="1" applyBorder="1" applyAlignment="1">
      <alignment horizontal="left"/>
    </xf>
    <xf numFmtId="170" fontId="13" fillId="0" borderId="0" xfId="13" applyNumberFormat="1" applyFont="1" applyFill="1" applyBorder="1"/>
    <xf numFmtId="170" fontId="14" fillId="0" borderId="0" xfId="13" applyNumberFormat="1" applyFont="1" applyFill="1" applyBorder="1" applyAlignment="1">
      <alignment horizontal="right"/>
    </xf>
    <xf numFmtId="0" fontId="25" fillId="7" borderId="54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/>
    </xf>
    <xf numFmtId="170" fontId="10" fillId="7" borderId="2" xfId="0" applyNumberFormat="1" applyFont="1" applyFill="1" applyBorder="1" applyAlignment="1">
      <alignment horizontal="center"/>
    </xf>
    <xf numFmtId="171" fontId="10" fillId="7" borderId="2" xfId="10" applyNumberFormat="1" applyFont="1" applyFill="1" applyBorder="1" applyAlignment="1">
      <alignment horizontal="center"/>
    </xf>
    <xf numFmtId="0" fontId="25" fillId="7" borderId="51" xfId="0" applyFont="1" applyFill="1" applyBorder="1" applyAlignment="1">
      <alignment horizontal="center"/>
    </xf>
    <xf numFmtId="0" fontId="10" fillId="7" borderId="51" xfId="0" applyFont="1" applyFill="1" applyBorder="1" applyAlignment="1">
      <alignment horizontal="center"/>
    </xf>
    <xf numFmtId="171" fontId="10" fillId="7" borderId="51" xfId="10" applyNumberFormat="1" applyFont="1" applyFill="1" applyBorder="1" applyAlignment="1">
      <alignment horizontal="center"/>
    </xf>
    <xf numFmtId="3" fontId="10" fillId="7" borderId="51" xfId="13" applyNumberFormat="1" applyFont="1" applyFill="1" applyBorder="1" applyAlignment="1">
      <alignment horizontal="center" vertical="center"/>
    </xf>
    <xf numFmtId="172" fontId="10" fillId="7" borderId="51" xfId="13" applyNumberFormat="1" applyFont="1" applyFill="1" applyBorder="1" applyAlignment="1">
      <alignment horizontal="center"/>
    </xf>
    <xf numFmtId="0" fontId="29" fillId="7" borderId="52" xfId="0" applyFont="1" applyFill="1" applyBorder="1" applyAlignment="1">
      <alignment horizontal="center"/>
    </xf>
    <xf numFmtId="172" fontId="10" fillId="7" borderId="53" xfId="0" applyNumberFormat="1" applyFont="1" applyFill="1" applyBorder="1" applyAlignment="1">
      <alignment horizontal="center" vertical="center"/>
    </xf>
    <xf numFmtId="172" fontId="10" fillId="7" borderId="51" xfId="0" applyNumberFormat="1" applyFont="1" applyFill="1" applyBorder="1" applyAlignment="1">
      <alignment horizontal="center" vertical="center"/>
    </xf>
    <xf numFmtId="172" fontId="10" fillId="7" borderId="4" xfId="0" applyNumberFormat="1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5" fillId="7" borderId="53" xfId="0" applyFont="1" applyFill="1" applyBorder="1" applyAlignment="1">
      <alignment horizontal="center" vertical="center"/>
    </xf>
    <xf numFmtId="0" fontId="25" fillId="7" borderId="36" xfId="0" applyFont="1" applyFill="1" applyBorder="1" applyAlignment="1">
      <alignment horizontal="center" vertical="center"/>
    </xf>
    <xf numFmtId="0" fontId="24" fillId="0" borderId="0" xfId="12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174" fontId="30" fillId="0" borderId="0" xfId="1" applyNumberFormat="1" applyFont="1" applyFill="1" applyBorder="1" applyAlignment="1">
      <alignment horizontal="left"/>
    </xf>
    <xf numFmtId="43" fontId="13" fillId="0" borderId="0" xfId="1" applyFont="1" applyBorder="1"/>
    <xf numFmtId="167" fontId="13" fillId="0" borderId="0" xfId="3" applyNumberFormat="1" applyFont="1"/>
    <xf numFmtId="172" fontId="14" fillId="0" borderId="50" xfId="0" applyNumberFormat="1" applyFont="1" applyBorder="1" applyAlignment="1">
      <alignment horizontal="center"/>
    </xf>
    <xf numFmtId="172" fontId="14" fillId="0" borderId="58" xfId="0" applyNumberFormat="1" applyFont="1" applyBorder="1" applyAlignment="1">
      <alignment horizontal="center"/>
    </xf>
    <xf numFmtId="172" fontId="14" fillId="0" borderId="1" xfId="0" applyNumberFormat="1" applyFont="1" applyBorder="1" applyAlignment="1">
      <alignment horizontal="center"/>
    </xf>
    <xf numFmtId="172" fontId="13" fillId="0" borderId="0" xfId="3" applyNumberFormat="1" applyFont="1"/>
    <xf numFmtId="166" fontId="13" fillId="0" borderId="0" xfId="13" applyFont="1" applyBorder="1"/>
    <xf numFmtId="172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171" fontId="28" fillId="0" borderId="1" xfId="10" applyNumberFormat="1" applyFont="1" applyFill="1" applyBorder="1" applyAlignment="1">
      <alignment horizontal="center"/>
    </xf>
    <xf numFmtId="172" fontId="28" fillId="0" borderId="1" xfId="13" applyNumberFormat="1" applyFont="1" applyFill="1" applyBorder="1"/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166" fontId="13" fillId="0" borderId="0" xfId="13" applyFont="1" applyFill="1" applyBorder="1"/>
    <xf numFmtId="0" fontId="16" fillId="0" borderId="59" xfId="0" applyFont="1" applyBorder="1"/>
    <xf numFmtId="0" fontId="16" fillId="0" borderId="59" xfId="0" applyFont="1" applyBorder="1" applyAlignment="1">
      <alignment horizontal="center" vertical="center"/>
    </xf>
    <xf numFmtId="10" fontId="14" fillId="0" borderId="59" xfId="10" applyNumberFormat="1" applyFont="1" applyBorder="1"/>
    <xf numFmtId="171" fontId="27" fillId="2" borderId="6" xfId="10" applyNumberFormat="1" applyFont="1" applyFill="1" applyBorder="1" applyAlignment="1">
      <alignment horizontal="center" vertical="center" wrapText="1"/>
    </xf>
    <xf numFmtId="170" fontId="27" fillId="2" borderId="6" xfId="13" applyNumberFormat="1" applyFont="1" applyFill="1" applyBorder="1" applyAlignment="1">
      <alignment horizontal="center" vertical="center" wrapText="1"/>
    </xf>
    <xf numFmtId="10" fontId="14" fillId="0" borderId="0" xfId="10" applyNumberFormat="1" applyFont="1" applyFill="1" applyBorder="1"/>
    <xf numFmtId="0" fontId="26" fillId="0" borderId="0" xfId="3" applyFont="1"/>
    <xf numFmtId="171" fontId="14" fillId="2" borderId="1" xfId="10" applyNumberFormat="1" applyFont="1" applyFill="1" applyBorder="1" applyAlignment="1">
      <alignment horizontal="center"/>
    </xf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26" xfId="0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27" fillId="2" borderId="6" xfId="0" applyFont="1" applyFill="1" applyBorder="1" applyAlignment="1">
      <alignment horizontal="center" vertical="center" wrapText="1"/>
    </xf>
    <xf numFmtId="172" fontId="31" fillId="2" borderId="1" xfId="0" applyNumberFormat="1" applyFont="1" applyFill="1" applyBorder="1" applyAlignment="1">
      <alignment horizontal="center"/>
    </xf>
    <xf numFmtId="172" fontId="15" fillId="0" borderId="0" xfId="3" applyNumberFormat="1" applyFont="1" applyAlignment="1">
      <alignment horizontal="left"/>
    </xf>
    <xf numFmtId="0" fontId="0" fillId="2" borderId="51" xfId="0" applyFill="1" applyBorder="1" applyAlignment="1">
      <alignment horizontal="center" vertical="center"/>
    </xf>
    <xf numFmtId="0" fontId="0" fillId="2" borderId="51" xfId="0" applyFill="1" applyBorder="1"/>
    <xf numFmtId="0" fontId="0" fillId="2" borderId="61" xfId="0" applyFill="1" applyBorder="1"/>
    <xf numFmtId="0" fontId="2" fillId="2" borderId="53" xfId="0" applyFont="1" applyFill="1" applyBorder="1" applyAlignment="1">
      <alignment horizontal="justify" vertical="center" wrapText="1"/>
    </xf>
    <xf numFmtId="17" fontId="0" fillId="2" borderId="51" xfId="0" applyNumberFormat="1" applyFill="1" applyBorder="1" applyAlignment="1">
      <alignment horizontal="center" vertical="center"/>
    </xf>
    <xf numFmtId="168" fontId="0" fillId="2" borderId="4" xfId="0" applyNumberFormat="1" applyFill="1" applyBorder="1" applyAlignment="1">
      <alignment horizontal="center" vertical="center"/>
    </xf>
    <xf numFmtId="10" fontId="26" fillId="0" borderId="0" xfId="10" applyNumberFormat="1" applyFont="1" applyBorder="1"/>
    <xf numFmtId="172" fontId="14" fillId="2" borderId="42" xfId="0" applyNumberFormat="1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10" fontId="14" fillId="2" borderId="59" xfId="10" applyNumberFormat="1" applyFont="1" applyFill="1" applyBorder="1"/>
    <xf numFmtId="172" fontId="9" fillId="2" borderId="2" xfId="0" applyNumberFormat="1" applyFont="1" applyFill="1" applyBorder="1" applyAlignment="1">
      <alignment horizontal="center"/>
    </xf>
    <xf numFmtId="170" fontId="25" fillId="2" borderId="51" xfId="0" applyNumberFormat="1" applyFont="1" applyFill="1" applyBorder="1" applyAlignment="1">
      <alignment horizontal="center"/>
    </xf>
    <xf numFmtId="10" fontId="25" fillId="2" borderId="53" xfId="10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left"/>
    </xf>
    <xf numFmtId="170" fontId="26" fillId="2" borderId="42" xfId="13" applyNumberFormat="1" applyFont="1" applyFill="1" applyBorder="1"/>
    <xf numFmtId="170" fontId="31" fillId="2" borderId="42" xfId="13" applyNumberFormat="1" applyFont="1" applyFill="1" applyBorder="1" applyAlignment="1">
      <alignment horizontal="right"/>
    </xf>
    <xf numFmtId="10" fontId="14" fillId="2" borderId="1" xfId="10" applyNumberFormat="1" applyFont="1" applyFill="1" applyBorder="1" applyAlignment="1">
      <alignment horizontal="center"/>
    </xf>
    <xf numFmtId="10" fontId="10" fillId="7" borderId="51" xfId="10" applyNumberFormat="1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171" fontId="10" fillId="2" borderId="2" xfId="0" applyNumberFormat="1" applyFont="1" applyFill="1" applyBorder="1" applyAlignment="1">
      <alignment horizontal="center"/>
    </xf>
    <xf numFmtId="171" fontId="25" fillId="2" borderId="52" xfId="0" applyNumberFormat="1" applyFont="1" applyFill="1" applyBorder="1" applyAlignment="1">
      <alignment horizontal="center"/>
    </xf>
    <xf numFmtId="171" fontId="25" fillId="2" borderId="20" xfId="0" applyNumberFormat="1" applyFont="1" applyFill="1" applyBorder="1" applyAlignment="1">
      <alignment vertical="center"/>
    </xf>
    <xf numFmtId="171" fontId="16" fillId="2" borderId="12" xfId="0" applyNumberFormat="1" applyFont="1" applyFill="1" applyBorder="1" applyAlignment="1">
      <alignment horizontal="left"/>
    </xf>
    <xf numFmtId="0" fontId="26" fillId="2" borderId="9" xfId="3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left" vertical="center"/>
    </xf>
    <xf numFmtId="10" fontId="14" fillId="2" borderId="42" xfId="0" applyNumberFormat="1" applyFont="1" applyFill="1" applyBorder="1" applyAlignment="1">
      <alignment horizontal="center"/>
    </xf>
    <xf numFmtId="172" fontId="14" fillId="8" borderId="1" xfId="0" applyNumberFormat="1" applyFont="1" applyFill="1" applyBorder="1" applyAlignment="1">
      <alignment horizontal="center"/>
    </xf>
    <xf numFmtId="0" fontId="17" fillId="8" borderId="1" xfId="0" applyFont="1" applyFill="1" applyBorder="1"/>
    <xf numFmtId="10" fontId="14" fillId="8" borderId="1" xfId="10" applyNumberFormat="1" applyFont="1" applyFill="1" applyBorder="1" applyAlignment="1">
      <alignment horizontal="center"/>
    </xf>
    <xf numFmtId="171" fontId="28" fillId="8" borderId="1" xfId="10" applyNumberFormat="1" applyFont="1" applyFill="1" applyBorder="1" applyAlignment="1">
      <alignment horizontal="center"/>
    </xf>
    <xf numFmtId="172" fontId="28" fillId="8" borderId="1" xfId="13" applyNumberFormat="1" applyFont="1" applyFill="1" applyBorder="1"/>
    <xf numFmtId="3" fontId="14" fillId="8" borderId="27" xfId="0" applyNumberFormat="1" applyFont="1" applyFill="1" applyBorder="1" applyAlignment="1">
      <alignment vertical="center"/>
    </xf>
    <xf numFmtId="0" fontId="13" fillId="8" borderId="0" xfId="3" applyFont="1" applyFill="1"/>
    <xf numFmtId="166" fontId="13" fillId="8" borderId="0" xfId="13" applyFont="1" applyFill="1" applyBorder="1"/>
    <xf numFmtId="172" fontId="13" fillId="8" borderId="0" xfId="3" applyNumberFormat="1" applyFont="1" applyFill="1"/>
    <xf numFmtId="3" fontId="14" fillId="8" borderId="28" xfId="0" applyNumberFormat="1" applyFont="1" applyFill="1" applyBorder="1" applyAlignment="1">
      <alignment vertical="center"/>
    </xf>
    <xf numFmtId="10" fontId="27" fillId="9" borderId="6" xfId="0" applyNumberFormat="1" applyFont="1" applyFill="1" applyBorder="1" applyAlignment="1">
      <alignment horizontal="center" vertical="center"/>
    </xf>
    <xf numFmtId="0" fontId="25" fillId="9" borderId="20" xfId="0" applyFont="1" applyFill="1" applyBorder="1" applyAlignment="1">
      <alignment vertical="center"/>
    </xf>
    <xf numFmtId="172" fontId="14" fillId="9" borderId="0" xfId="0" applyNumberFormat="1" applyFont="1" applyFill="1" applyAlignment="1">
      <alignment horizontal="center"/>
    </xf>
    <xf numFmtId="10" fontId="31" fillId="8" borderId="1" xfId="10" applyNumberFormat="1" applyFont="1" applyFill="1" applyBorder="1" applyAlignment="1">
      <alignment horizontal="center"/>
    </xf>
    <xf numFmtId="3" fontId="14" fillId="8" borderId="1" xfId="0" applyNumberFormat="1" applyFont="1" applyFill="1" applyBorder="1" applyAlignment="1">
      <alignment horizontal="center" vertical="center"/>
    </xf>
    <xf numFmtId="165" fontId="14" fillId="8" borderId="1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7" fillId="10" borderId="1" xfId="0" applyFont="1" applyFill="1" applyBorder="1"/>
    <xf numFmtId="0" fontId="17" fillId="11" borderId="43" xfId="0" applyFont="1" applyFill="1" applyBorder="1"/>
    <xf numFmtId="0" fontId="17" fillId="11" borderId="56" xfId="0" applyFont="1" applyFill="1" applyBorder="1"/>
    <xf numFmtId="0" fontId="17" fillId="11" borderId="56" xfId="0" applyFont="1" applyFill="1" applyBorder="1" applyAlignment="1">
      <alignment horizontal="center" vertical="center"/>
    </xf>
    <xf numFmtId="172" fontId="14" fillId="11" borderId="47" xfId="0" applyNumberFormat="1" applyFont="1" applyFill="1" applyBorder="1" applyAlignment="1">
      <alignment horizontal="center"/>
    </xf>
    <xf numFmtId="171" fontId="14" fillId="11" borderId="1" xfId="10" applyNumberFormat="1" applyFont="1" applyFill="1" applyBorder="1" applyAlignment="1">
      <alignment horizontal="center"/>
    </xf>
    <xf numFmtId="171" fontId="28" fillId="11" borderId="1" xfId="10" applyNumberFormat="1" applyFont="1" applyFill="1" applyBorder="1" applyAlignment="1">
      <alignment horizontal="center"/>
    </xf>
    <xf numFmtId="172" fontId="28" fillId="11" borderId="1" xfId="13" applyNumberFormat="1" applyFont="1" applyFill="1" applyBorder="1"/>
    <xf numFmtId="0" fontId="14" fillId="11" borderId="1" xfId="0" applyFont="1" applyFill="1" applyBorder="1" applyAlignment="1">
      <alignment horizontal="center" vertical="center"/>
    </xf>
    <xf numFmtId="165" fontId="14" fillId="11" borderId="1" xfId="0" applyNumberFormat="1" applyFont="1" applyFill="1" applyBorder="1" applyAlignment="1">
      <alignment vertical="center"/>
    </xf>
    <xf numFmtId="0" fontId="13" fillId="11" borderId="0" xfId="3" applyFont="1" applyFill="1"/>
    <xf numFmtId="166" fontId="13" fillId="11" borderId="0" xfId="13" applyFont="1" applyFill="1" applyBorder="1"/>
    <xf numFmtId="172" fontId="13" fillId="11" borderId="0" xfId="3" applyNumberFormat="1" applyFont="1" applyFill="1"/>
    <xf numFmtId="0" fontId="17" fillId="11" borderId="44" xfId="0" applyFont="1" applyFill="1" applyBorder="1"/>
    <xf numFmtId="0" fontId="17" fillId="11" borderId="57" xfId="0" applyFont="1" applyFill="1" applyBorder="1"/>
    <xf numFmtId="0" fontId="17" fillId="11" borderId="57" xfId="0" applyFont="1" applyFill="1" applyBorder="1" applyAlignment="1">
      <alignment horizontal="center" vertical="center"/>
    </xf>
    <xf numFmtId="0" fontId="17" fillId="11" borderId="48" xfId="0" applyFont="1" applyFill="1" applyBorder="1"/>
    <xf numFmtId="0" fontId="17" fillId="11" borderId="58" xfId="0" applyFont="1" applyFill="1" applyBorder="1"/>
    <xf numFmtId="0" fontId="17" fillId="11" borderId="58" xfId="0" applyFont="1" applyFill="1" applyBorder="1" applyAlignment="1">
      <alignment horizontal="center" vertical="center"/>
    </xf>
    <xf numFmtId="172" fontId="14" fillId="11" borderId="1" xfId="0" applyNumberFormat="1" applyFont="1" applyFill="1" applyBorder="1" applyAlignment="1">
      <alignment vertical="center"/>
    </xf>
    <xf numFmtId="0" fontId="17" fillId="11" borderId="1" xfId="0" applyFont="1" applyFill="1" applyBorder="1"/>
    <xf numFmtId="0" fontId="17" fillId="11" borderId="1" xfId="0" applyFont="1" applyFill="1" applyBorder="1" applyAlignment="1">
      <alignment horizontal="center" vertical="center"/>
    </xf>
    <xf numFmtId="172" fontId="31" fillId="11" borderId="1" xfId="0" applyNumberFormat="1" applyFont="1" applyFill="1" applyBorder="1" applyAlignment="1">
      <alignment horizontal="center"/>
    </xf>
    <xf numFmtId="172" fontId="14" fillId="11" borderId="1" xfId="0" applyNumberFormat="1" applyFont="1" applyFill="1" applyBorder="1" applyAlignment="1">
      <alignment horizontal="center"/>
    </xf>
    <xf numFmtId="0" fontId="17" fillId="11" borderId="46" xfId="0" applyFont="1" applyFill="1" applyBorder="1"/>
    <xf numFmtId="0" fontId="17" fillId="12" borderId="44" xfId="0" applyFont="1" applyFill="1" applyBorder="1"/>
    <xf numFmtId="0" fontId="17" fillId="12" borderId="57" xfId="0" applyFont="1" applyFill="1" applyBorder="1"/>
    <xf numFmtId="0" fontId="17" fillId="12" borderId="57" xfId="0" applyFont="1" applyFill="1" applyBorder="1" applyAlignment="1">
      <alignment horizontal="center" vertical="center"/>
    </xf>
    <xf numFmtId="172" fontId="14" fillId="12" borderId="47" xfId="0" applyNumberFormat="1" applyFont="1" applyFill="1" applyBorder="1" applyAlignment="1">
      <alignment horizontal="center"/>
    </xf>
    <xf numFmtId="171" fontId="28" fillId="12" borderId="1" xfId="10" applyNumberFormat="1" applyFont="1" applyFill="1" applyBorder="1" applyAlignment="1">
      <alignment horizontal="center"/>
    </xf>
    <xf numFmtId="172" fontId="28" fillId="12" borderId="1" xfId="13" applyNumberFormat="1" applyFont="1" applyFill="1" applyBorder="1"/>
    <xf numFmtId="0" fontId="14" fillId="12" borderId="1" xfId="0" applyFont="1" applyFill="1" applyBorder="1" applyAlignment="1">
      <alignment horizontal="center" vertical="center"/>
    </xf>
    <xf numFmtId="165" fontId="14" fillId="12" borderId="1" xfId="0" applyNumberFormat="1" applyFont="1" applyFill="1" applyBorder="1" applyAlignment="1">
      <alignment vertical="center"/>
    </xf>
    <xf numFmtId="0" fontId="13" fillId="12" borderId="0" xfId="3" applyFont="1" applyFill="1"/>
    <xf numFmtId="166" fontId="13" fillId="12" borderId="0" xfId="13" applyFont="1" applyFill="1" applyBorder="1"/>
    <xf numFmtId="172" fontId="13" fillId="12" borderId="0" xfId="3" applyNumberFormat="1" applyFont="1" applyFill="1"/>
    <xf numFmtId="0" fontId="17" fillId="11" borderId="55" xfId="0" applyFont="1" applyFill="1" applyBorder="1"/>
    <xf numFmtId="0" fontId="17" fillId="11" borderId="55" xfId="0" applyFont="1" applyFill="1" applyBorder="1" applyAlignment="1">
      <alignment horizontal="center" vertical="center"/>
    </xf>
    <xf numFmtId="172" fontId="31" fillId="8" borderId="1" xfId="0" applyNumberFormat="1" applyFont="1" applyFill="1" applyBorder="1" applyAlignment="1">
      <alignment horizontal="center"/>
    </xf>
    <xf numFmtId="3" fontId="31" fillId="8" borderId="1" xfId="0" applyNumberFormat="1" applyFont="1" applyFill="1" applyBorder="1" applyAlignment="1">
      <alignment horizontal="center" vertical="center"/>
    </xf>
    <xf numFmtId="165" fontId="31" fillId="8" borderId="1" xfId="0" applyNumberFormat="1" applyFont="1" applyFill="1" applyBorder="1" applyAlignment="1">
      <alignment vertical="center"/>
    </xf>
    <xf numFmtId="0" fontId="31" fillId="8" borderId="1" xfId="0" applyFont="1" applyFill="1" applyBorder="1" applyAlignment="1">
      <alignment horizontal="center" vertical="center"/>
    </xf>
    <xf numFmtId="0" fontId="17" fillId="8" borderId="49" xfId="0" applyFont="1" applyFill="1" applyBorder="1"/>
    <xf numFmtId="0" fontId="17" fillId="8" borderId="0" xfId="0" applyFont="1" applyFill="1"/>
    <xf numFmtId="172" fontId="14" fillId="8" borderId="47" xfId="0" applyNumberFormat="1" applyFont="1" applyFill="1" applyBorder="1" applyAlignment="1">
      <alignment horizontal="center"/>
    </xf>
    <xf numFmtId="0" fontId="17" fillId="8" borderId="42" xfId="0" applyFont="1" applyFill="1" applyBorder="1"/>
    <xf numFmtId="0" fontId="17" fillId="8" borderId="47" xfId="0" applyFont="1" applyFill="1" applyBorder="1" applyAlignment="1">
      <alignment horizontal="center" vertical="center"/>
    </xf>
    <xf numFmtId="165" fontId="15" fillId="0" borderId="0" xfId="3" applyNumberFormat="1" applyFont="1" applyAlignment="1">
      <alignment horizontal="left"/>
    </xf>
    <xf numFmtId="10" fontId="14" fillId="11" borderId="1" xfId="10" applyNumberFormat="1" applyFont="1" applyFill="1" applyBorder="1" applyAlignment="1">
      <alignment horizontal="center"/>
    </xf>
    <xf numFmtId="10" fontId="14" fillId="12" borderId="1" xfId="10" applyNumberFormat="1" applyFont="1" applyFill="1" applyBorder="1" applyAlignment="1">
      <alignment horizontal="center"/>
    </xf>
    <xf numFmtId="0" fontId="17" fillId="8" borderId="43" xfId="0" applyFont="1" applyFill="1" applyBorder="1"/>
    <xf numFmtId="0" fontId="17" fillId="8" borderId="56" xfId="0" applyFont="1" applyFill="1" applyBorder="1"/>
    <xf numFmtId="0" fontId="17" fillId="8" borderId="56" xfId="0" applyFont="1" applyFill="1" applyBorder="1" applyAlignment="1">
      <alignment horizontal="center" vertical="center"/>
    </xf>
    <xf numFmtId="172" fontId="31" fillId="8" borderId="47" xfId="0" applyNumberFormat="1" applyFont="1" applyFill="1" applyBorder="1" applyAlignment="1">
      <alignment horizontal="center"/>
    </xf>
    <xf numFmtId="0" fontId="17" fillId="8" borderId="44" xfId="0" applyFont="1" applyFill="1" applyBorder="1"/>
    <xf numFmtId="0" fontId="17" fillId="8" borderId="57" xfId="0" applyFont="1" applyFill="1" applyBorder="1"/>
    <xf numFmtId="0" fontId="17" fillId="8" borderId="57" xfId="0" applyFont="1" applyFill="1" applyBorder="1" applyAlignment="1">
      <alignment horizontal="center" vertical="center"/>
    </xf>
    <xf numFmtId="0" fontId="17" fillId="8" borderId="48" xfId="0" applyFont="1" applyFill="1" applyBorder="1"/>
    <xf numFmtId="0" fontId="17" fillId="8" borderId="58" xfId="0" applyFont="1" applyFill="1" applyBorder="1"/>
    <xf numFmtId="0" fontId="17" fillId="8" borderId="58" xfId="0" applyFont="1" applyFill="1" applyBorder="1" applyAlignment="1">
      <alignment horizontal="center" vertical="center"/>
    </xf>
    <xf numFmtId="0" fontId="17" fillId="8" borderId="46" xfId="0" applyFont="1" applyFill="1" applyBorder="1"/>
    <xf numFmtId="172" fontId="31" fillId="8" borderId="45" xfId="0" applyNumberFormat="1" applyFont="1" applyFill="1" applyBorder="1" applyAlignment="1">
      <alignment horizontal="center"/>
    </xf>
    <xf numFmtId="0" fontId="17" fillId="8" borderId="55" xfId="0" applyFont="1" applyFill="1" applyBorder="1"/>
    <xf numFmtId="0" fontId="17" fillId="8" borderId="55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66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7" fillId="8" borderId="1" xfId="0" applyFon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/>
    </xf>
    <xf numFmtId="43" fontId="0" fillId="0" borderId="0" xfId="1" applyFont="1"/>
    <xf numFmtId="0" fontId="3" fillId="2" borderId="64" xfId="0" applyFont="1" applyFill="1" applyBorder="1" applyAlignment="1">
      <alignment horizontal="center" vertical="center" wrapText="1"/>
    </xf>
    <xf numFmtId="10" fontId="25" fillId="3" borderId="53" xfId="1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4" fillId="2" borderId="18" xfId="8" applyFill="1" applyBorder="1" applyAlignment="1">
      <alignment wrapText="1"/>
    </xf>
    <xf numFmtId="172" fontId="31" fillId="0" borderId="0" xfId="0" applyNumberFormat="1" applyFont="1" applyAlignment="1">
      <alignment horizontal="center"/>
    </xf>
    <xf numFmtId="0" fontId="15" fillId="0" borderId="0" xfId="3" applyFont="1"/>
    <xf numFmtId="166" fontId="15" fillId="0" borderId="0" xfId="13" applyFont="1" applyFill="1" applyBorder="1"/>
    <xf numFmtId="172" fontId="15" fillId="0" borderId="0" xfId="3" applyNumberFormat="1" applyFont="1"/>
    <xf numFmtId="172" fontId="31" fillId="2" borderId="42" xfId="0" applyNumberFormat="1" applyFont="1" applyFill="1" applyBorder="1" applyAlignment="1">
      <alignment horizontal="center"/>
    </xf>
    <xf numFmtId="166" fontId="26" fillId="0" borderId="0" xfId="13" applyFont="1" applyFill="1" applyBorder="1"/>
    <xf numFmtId="172" fontId="26" fillId="0" borderId="0" xfId="3" applyNumberFormat="1" applyFont="1"/>
    <xf numFmtId="10" fontId="31" fillId="2" borderId="59" xfId="10" applyNumberFormat="1" applyFont="1" applyFill="1" applyBorder="1"/>
    <xf numFmtId="172" fontId="26" fillId="0" borderId="0" xfId="13" applyNumberFormat="1" applyFont="1" applyFill="1" applyBorder="1"/>
    <xf numFmtId="0" fontId="10" fillId="7" borderId="52" xfId="0" applyFont="1" applyFill="1" applyBorder="1" applyAlignment="1">
      <alignment horizontal="center"/>
    </xf>
    <xf numFmtId="0" fontId="26" fillId="0" borderId="0" xfId="3" applyFont="1" applyAlignment="1">
      <alignment horizontal="center" vertical="center"/>
    </xf>
    <xf numFmtId="0" fontId="34" fillId="0" borderId="0" xfId="0" applyFont="1"/>
    <xf numFmtId="43" fontId="26" fillId="0" borderId="0" xfId="1" applyFont="1" applyBorder="1"/>
    <xf numFmtId="167" fontId="26" fillId="0" borderId="0" xfId="3" applyNumberFormat="1" applyFont="1"/>
    <xf numFmtId="0" fontId="0" fillId="0" borderId="1" xfId="0" applyBorder="1" applyAlignment="1">
      <alignment horizontal="left" vertical="top"/>
    </xf>
    <xf numFmtId="0" fontId="17" fillId="2" borderId="1" xfId="0" applyFont="1" applyFill="1" applyBorder="1"/>
    <xf numFmtId="171" fontId="17" fillId="2" borderId="1" xfId="10" applyNumberFormat="1" applyFont="1" applyFill="1" applyBorder="1" applyAlignment="1">
      <alignment horizontal="center"/>
    </xf>
    <xf numFmtId="172" fontId="17" fillId="2" borderId="1" xfId="13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6" fillId="2" borderId="42" xfId="0" applyFont="1" applyFill="1" applyBorder="1"/>
    <xf numFmtId="0" fontId="16" fillId="2" borderId="42" xfId="0" applyFont="1" applyFill="1" applyBorder="1" applyAlignment="1">
      <alignment horizontal="center" vertical="center"/>
    </xf>
    <xf numFmtId="172" fontId="31" fillId="2" borderId="50" xfId="0" applyNumberFormat="1" applyFont="1" applyFill="1" applyBorder="1" applyAlignment="1">
      <alignment horizontal="center"/>
    </xf>
    <xf numFmtId="172" fontId="31" fillId="2" borderId="58" xfId="0" applyNumberFormat="1" applyFont="1" applyFill="1" applyBorder="1" applyAlignment="1">
      <alignment horizontal="center"/>
    </xf>
    <xf numFmtId="172" fontId="31" fillId="2" borderId="0" xfId="0" applyNumberFormat="1" applyFont="1" applyFill="1" applyAlignment="1">
      <alignment horizontal="center"/>
    </xf>
    <xf numFmtId="0" fontId="16" fillId="2" borderId="59" xfId="0" applyFont="1" applyFill="1" applyBorder="1" applyAlignment="1">
      <alignment horizontal="center" vertical="center"/>
    </xf>
    <xf numFmtId="170" fontId="26" fillId="2" borderId="0" xfId="13" applyNumberFormat="1" applyFont="1" applyFill="1" applyBorder="1"/>
    <xf numFmtId="170" fontId="31" fillId="2" borderId="0" xfId="13" applyNumberFormat="1" applyFont="1" applyFill="1" applyBorder="1" applyAlignment="1">
      <alignment horizontal="right"/>
    </xf>
    <xf numFmtId="0" fontId="15" fillId="2" borderId="0" xfId="3" applyFont="1" applyFill="1"/>
    <xf numFmtId="0" fontId="13" fillId="2" borderId="0" xfId="3" applyFont="1" applyFill="1"/>
    <xf numFmtId="168" fontId="0" fillId="0" borderId="3" xfId="0" applyNumberFormat="1" applyBorder="1" applyAlignment="1">
      <alignment horizontal="center" vertical="center"/>
    </xf>
    <xf numFmtId="172" fontId="17" fillId="0" borderId="1" xfId="0" applyNumberFormat="1" applyFont="1" applyBorder="1" applyAlignment="1">
      <alignment horizontal="center"/>
    </xf>
    <xf numFmtId="172" fontId="17" fillId="0" borderId="47" xfId="0" applyNumberFormat="1" applyFont="1" applyBorder="1" applyAlignment="1">
      <alignment horizontal="center"/>
    </xf>
    <xf numFmtId="172" fontId="9" fillId="0" borderId="2" xfId="0" applyNumberFormat="1" applyFont="1" applyBorder="1" applyAlignment="1">
      <alignment horizontal="center"/>
    </xf>
    <xf numFmtId="10" fontId="25" fillId="0" borderId="53" xfId="1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170" fontId="26" fillId="0" borderId="42" xfId="13" applyNumberFormat="1" applyFont="1" applyFill="1" applyBorder="1"/>
    <xf numFmtId="170" fontId="31" fillId="0" borderId="42" xfId="13" applyNumberFormat="1" applyFont="1" applyFill="1" applyBorder="1" applyAlignment="1">
      <alignment horizontal="right"/>
    </xf>
    <xf numFmtId="0" fontId="16" fillId="2" borderId="50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27" xfId="0" applyFont="1" applyFill="1" applyBorder="1"/>
    <xf numFmtId="0" fontId="16" fillId="2" borderId="27" xfId="0" applyFont="1" applyFill="1" applyBorder="1" applyAlignment="1">
      <alignment horizontal="center" vertical="center"/>
    </xf>
    <xf numFmtId="172" fontId="17" fillId="0" borderId="30" xfId="0" applyNumberFormat="1" applyFont="1" applyBorder="1" applyAlignment="1">
      <alignment horizontal="center"/>
    </xf>
    <xf numFmtId="170" fontId="31" fillId="0" borderId="0" xfId="13" applyNumberFormat="1" applyFont="1" applyFill="1" applyBorder="1" applyAlignment="1">
      <alignment horizontal="right"/>
    </xf>
    <xf numFmtId="172" fontId="31" fillId="0" borderId="42" xfId="0" applyNumberFormat="1" applyFont="1" applyBorder="1" applyAlignment="1">
      <alignment horizontal="center"/>
    </xf>
    <xf numFmtId="41" fontId="15" fillId="0" borderId="0" xfId="15" applyFont="1" applyFill="1" applyBorder="1" applyAlignment="1">
      <alignment horizontal="left"/>
    </xf>
    <xf numFmtId="171" fontId="17" fillId="0" borderId="1" xfId="10" applyNumberFormat="1" applyFont="1" applyFill="1" applyBorder="1" applyAlignment="1">
      <alignment horizontal="center"/>
    </xf>
    <xf numFmtId="172" fontId="25" fillId="0" borderId="53" xfId="10" applyNumberFormat="1" applyFont="1" applyFill="1" applyBorder="1" applyAlignment="1">
      <alignment horizontal="center" vertical="center"/>
    </xf>
    <xf numFmtId="170" fontId="26" fillId="0" borderId="0" xfId="13" applyNumberFormat="1" applyFont="1" applyFill="1" applyBorder="1"/>
    <xf numFmtId="0" fontId="17" fillId="0" borderId="67" xfId="0" applyFont="1" applyBorder="1"/>
    <xf numFmtId="0" fontId="17" fillId="0" borderId="63" xfId="0" applyFont="1" applyBorder="1"/>
    <xf numFmtId="0" fontId="17" fillId="0" borderId="70" xfId="0" applyFont="1" applyBorder="1"/>
    <xf numFmtId="0" fontId="17" fillId="0" borderId="68" xfId="0" applyFont="1" applyBorder="1"/>
    <xf numFmtId="0" fontId="17" fillId="0" borderId="69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3" fontId="25" fillId="0" borderId="51" xfId="13" applyNumberFormat="1" applyFont="1" applyFill="1" applyBorder="1" applyAlignment="1">
      <alignment horizontal="center" vertical="center"/>
    </xf>
    <xf numFmtId="172" fontId="25" fillId="0" borderId="51" xfId="13" applyNumberFormat="1" applyFont="1" applyFill="1" applyBorder="1" applyAlignment="1">
      <alignment horizontal="center"/>
    </xf>
    <xf numFmtId="0" fontId="25" fillId="0" borderId="52" xfId="0" applyFont="1" applyBorder="1" applyAlignment="1">
      <alignment horizontal="center"/>
    </xf>
    <xf numFmtId="10" fontId="27" fillId="0" borderId="6" xfId="0" applyNumberFormat="1" applyFont="1" applyBorder="1" applyAlignment="1">
      <alignment horizontal="center" vertical="center"/>
    </xf>
    <xf numFmtId="172" fontId="17" fillId="0" borderId="1" xfId="13" applyNumberFormat="1" applyFont="1" applyFill="1" applyBorder="1"/>
    <xf numFmtId="10" fontId="31" fillId="0" borderId="0" xfId="10" applyNumberFormat="1" applyFont="1" applyFill="1" applyBorder="1"/>
    <xf numFmtId="170" fontId="14" fillId="0" borderId="0" xfId="8" applyNumberFormat="1"/>
    <xf numFmtId="10" fontId="31" fillId="0" borderId="0" xfId="8" applyNumberFormat="1" applyFont="1" applyAlignment="1">
      <alignment horizontal="center"/>
    </xf>
    <xf numFmtId="41" fontId="0" fillId="0" borderId="0" xfId="15" applyFont="1" applyFill="1"/>
    <xf numFmtId="0" fontId="25" fillId="0" borderId="12" xfId="0" applyFont="1" applyBorder="1" applyAlignment="1">
      <alignment horizontal="left" vertical="center"/>
    </xf>
    <xf numFmtId="0" fontId="25" fillId="0" borderId="53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71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172" fontId="17" fillId="2" borderId="47" xfId="0" applyNumberFormat="1" applyFont="1" applyFill="1" applyBorder="1" applyAlignment="1">
      <alignment horizontal="center"/>
    </xf>
    <xf numFmtId="0" fontId="17" fillId="2" borderId="70" xfId="0" applyFont="1" applyFill="1" applyBorder="1"/>
    <xf numFmtId="172" fontId="17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vertical="center"/>
    </xf>
    <xf numFmtId="171" fontId="17" fillId="2" borderId="0" xfId="10" applyNumberFormat="1" applyFont="1" applyFill="1" applyBorder="1" applyAlignment="1">
      <alignment horizontal="center"/>
    </xf>
    <xf numFmtId="172" fontId="17" fillId="2" borderId="0" xfId="13" applyNumberFormat="1" applyFont="1" applyFill="1" applyBorder="1"/>
    <xf numFmtId="166" fontId="17" fillId="0" borderId="0" xfId="13" applyFont="1" applyFill="1" applyBorder="1"/>
    <xf numFmtId="172" fontId="17" fillId="0" borderId="0" xfId="3" applyNumberFormat="1" applyFont="1"/>
    <xf numFmtId="170" fontId="14" fillId="0" borderId="1" xfId="8" applyNumberFormat="1" applyBorder="1"/>
    <xf numFmtId="170" fontId="14" fillId="2" borderId="1" xfId="8" applyNumberFormat="1" applyFill="1" applyBorder="1"/>
    <xf numFmtId="6" fontId="35" fillId="0" borderId="1" xfId="0" applyNumberFormat="1" applyFont="1" applyBorder="1" applyAlignment="1">
      <alignment vertical="center"/>
    </xf>
    <xf numFmtId="6" fontId="35" fillId="0" borderId="51" xfId="0" applyNumberFormat="1" applyFont="1" applyBorder="1" applyAlignment="1">
      <alignment vertical="center"/>
    </xf>
    <xf numFmtId="0" fontId="14" fillId="0" borderId="72" xfId="8" applyBorder="1" applyAlignment="1">
      <alignment wrapText="1"/>
    </xf>
    <xf numFmtId="170" fontId="14" fillId="0" borderId="28" xfId="8" applyNumberFormat="1" applyBorder="1"/>
    <xf numFmtId="10" fontId="14" fillId="0" borderId="33" xfId="7" applyNumberFormat="1" applyBorder="1"/>
    <xf numFmtId="0" fontId="15" fillId="2" borderId="5" xfId="3" applyFont="1" applyFill="1" applyBorder="1" applyAlignment="1">
      <alignment horizontal="center" vertical="center"/>
    </xf>
    <xf numFmtId="0" fontId="15" fillId="2" borderId="39" xfId="3" applyFont="1" applyFill="1" applyBorder="1" applyAlignment="1">
      <alignment horizontal="center" vertical="center"/>
    </xf>
    <xf numFmtId="0" fontId="31" fillId="2" borderId="18" xfId="8" applyFont="1" applyFill="1" applyBorder="1" applyAlignment="1">
      <alignment wrapText="1"/>
    </xf>
    <xf numFmtId="0" fontId="14" fillId="2" borderId="19" xfId="8" applyFill="1" applyBorder="1" applyAlignment="1">
      <alignment wrapText="1"/>
    </xf>
    <xf numFmtId="0" fontId="24" fillId="0" borderId="0" xfId="12" applyFill="1"/>
    <xf numFmtId="10" fontId="31" fillId="2" borderId="0" xfId="10" applyNumberFormat="1" applyFont="1" applyFill="1" applyBorder="1"/>
    <xf numFmtId="174" fontId="25" fillId="2" borderId="2" xfId="1" applyNumberFormat="1" applyFont="1" applyFill="1" applyBorder="1" applyAlignment="1">
      <alignment horizontal="center"/>
    </xf>
    <xf numFmtId="3" fontId="25" fillId="2" borderId="51" xfId="13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72" fontId="25" fillId="2" borderId="2" xfId="0" applyNumberFormat="1" applyFont="1" applyFill="1" applyBorder="1" applyAlignment="1">
      <alignment horizontal="center"/>
    </xf>
    <xf numFmtId="0" fontId="17" fillId="2" borderId="63" xfId="0" applyFont="1" applyFill="1" applyBorder="1"/>
    <xf numFmtId="0" fontId="25" fillId="2" borderId="31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center" vertical="center"/>
    </xf>
    <xf numFmtId="10" fontId="10" fillId="2" borderId="51" xfId="10" applyNumberFormat="1" applyFont="1" applyFill="1" applyBorder="1" applyAlignment="1">
      <alignment horizontal="center"/>
    </xf>
    <xf numFmtId="175" fontId="17" fillId="0" borderId="1" xfId="10" applyNumberFormat="1" applyFont="1" applyFill="1" applyBorder="1" applyAlignment="1">
      <alignment horizontal="center"/>
    </xf>
    <xf numFmtId="43" fontId="26" fillId="0" borderId="0" xfId="1" applyFont="1"/>
    <xf numFmtId="174" fontId="26" fillId="0" borderId="0" xfId="1" applyNumberFormat="1" applyFont="1"/>
    <xf numFmtId="172" fontId="17" fillId="2" borderId="30" xfId="0" applyNumberFormat="1" applyFont="1" applyFill="1" applyBorder="1" applyAlignment="1">
      <alignment horizontal="center"/>
    </xf>
    <xf numFmtId="10" fontId="17" fillId="0" borderId="1" xfId="10" applyNumberFormat="1" applyFont="1" applyFill="1" applyBorder="1" applyAlignment="1">
      <alignment horizontal="center"/>
    </xf>
    <xf numFmtId="0" fontId="17" fillId="0" borderId="64" xfId="0" applyFont="1" applyBorder="1"/>
    <xf numFmtId="0" fontId="17" fillId="0" borderId="74" xfId="0" applyFont="1" applyBorder="1"/>
    <xf numFmtId="0" fontId="17" fillId="2" borderId="27" xfId="0" applyFont="1" applyFill="1" applyBorder="1"/>
    <xf numFmtId="172" fontId="17" fillId="2" borderId="0" xfId="0" applyNumberFormat="1" applyFont="1" applyFill="1" applyAlignment="1">
      <alignment horizontal="center"/>
    </xf>
    <xf numFmtId="0" fontId="17" fillId="0" borderId="73" xfId="0" applyFont="1" applyBorder="1"/>
    <xf numFmtId="0" fontId="17" fillId="0" borderId="75" xfId="0" applyFont="1" applyBorder="1"/>
    <xf numFmtId="10" fontId="10" fillId="2" borderId="2" xfId="0" applyNumberFormat="1" applyFont="1" applyFill="1" applyBorder="1" applyAlignment="1">
      <alignment horizontal="center"/>
    </xf>
    <xf numFmtId="0" fontId="36" fillId="2" borderId="18" xfId="0" applyFont="1" applyFill="1" applyBorder="1"/>
    <xf numFmtId="43" fontId="33" fillId="0" borderId="52" xfId="1" applyFont="1" applyBorder="1" applyAlignment="1">
      <alignment horizontal="center"/>
    </xf>
    <xf numFmtId="165" fontId="17" fillId="0" borderId="27" xfId="0" applyNumberFormat="1" applyFont="1" applyBorder="1" applyAlignment="1">
      <alignment horizontal="center" vertical="center"/>
    </xf>
    <xf numFmtId="3" fontId="17" fillId="2" borderId="27" xfId="0" applyNumberFormat="1" applyFont="1" applyFill="1" applyBorder="1" applyAlignment="1">
      <alignment horizontal="center" vertical="center"/>
    </xf>
    <xf numFmtId="3" fontId="17" fillId="2" borderId="23" xfId="0" applyNumberFormat="1" applyFont="1" applyFill="1" applyBorder="1" applyAlignment="1">
      <alignment horizontal="center" vertical="center"/>
    </xf>
    <xf numFmtId="172" fontId="17" fillId="0" borderId="27" xfId="0" applyNumberFormat="1" applyFont="1" applyBorder="1" applyAlignment="1">
      <alignment horizontal="center" vertical="center" wrapText="1"/>
    </xf>
    <xf numFmtId="172" fontId="17" fillId="0" borderId="27" xfId="0" applyNumberFormat="1" applyFont="1" applyBorder="1" applyAlignment="1">
      <alignment vertical="center"/>
    </xf>
    <xf numFmtId="165" fontId="17" fillId="0" borderId="27" xfId="0" applyNumberFormat="1" applyFont="1" applyBorder="1" applyAlignment="1">
      <alignment vertical="center"/>
    </xf>
    <xf numFmtId="10" fontId="17" fillId="2" borderId="1" xfId="10" applyNumberFormat="1" applyFont="1" applyFill="1" applyBorder="1" applyAlignment="1">
      <alignment horizontal="center"/>
    </xf>
    <xf numFmtId="172" fontId="17" fillId="0" borderId="1" xfId="0" applyNumberFormat="1" applyFont="1" applyBorder="1" applyAlignment="1">
      <alignment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27" xfId="0" applyNumberFormat="1" applyFont="1" applyFill="1" applyBorder="1" applyAlignment="1">
      <alignment horizontal="center"/>
    </xf>
    <xf numFmtId="165" fontId="17" fillId="0" borderId="1" xfId="0" applyNumberFormat="1" applyFont="1" applyBorder="1" applyAlignment="1">
      <alignment horizontal="center" vertical="center"/>
    </xf>
    <xf numFmtId="172" fontId="17" fillId="0" borderId="1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2" fontId="17" fillId="0" borderId="23" xfId="0" applyNumberFormat="1" applyFont="1" applyBorder="1" applyAlignment="1">
      <alignment horizontal="right" vertical="center" wrapText="1"/>
    </xf>
    <xf numFmtId="165" fontId="17" fillId="2" borderId="27" xfId="0" applyNumberFormat="1" applyFont="1" applyFill="1" applyBorder="1" applyAlignment="1">
      <alignment vertical="center"/>
    </xf>
    <xf numFmtId="172" fontId="17" fillId="2" borderId="27" xfId="0" applyNumberFormat="1" applyFont="1" applyFill="1" applyBorder="1" applyAlignment="1">
      <alignment vertical="center"/>
    </xf>
    <xf numFmtId="165" fontId="17" fillId="2" borderId="27" xfId="0" applyNumberFormat="1" applyFont="1" applyFill="1" applyBorder="1" applyAlignment="1">
      <alignment horizontal="center" vertical="center"/>
    </xf>
    <xf numFmtId="172" fontId="17" fillId="2" borderId="27" xfId="0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/>
    </xf>
    <xf numFmtId="172" fontId="17" fillId="2" borderId="27" xfId="0" applyNumberFormat="1" applyFont="1" applyFill="1" applyBorder="1" applyAlignment="1">
      <alignment horizontal="center" vertical="center" wrapText="1"/>
    </xf>
    <xf numFmtId="0" fontId="18" fillId="3" borderId="76" xfId="0" applyFont="1" applyFill="1" applyBorder="1" applyAlignment="1">
      <alignment horizontal="center"/>
    </xf>
    <xf numFmtId="0" fontId="18" fillId="3" borderId="77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3" fontId="0" fillId="0" borderId="0" xfId="0" applyNumberFormat="1"/>
    <xf numFmtId="3" fontId="0" fillId="0" borderId="78" xfId="0" applyNumberFormat="1" applyBorder="1"/>
    <xf numFmtId="3" fontId="0" fillId="0" borderId="79" xfId="0" applyNumberFormat="1" applyBorder="1"/>
    <xf numFmtId="43" fontId="0" fillId="0" borderId="0" xfId="0" applyNumberFormat="1"/>
    <xf numFmtId="0" fontId="0" fillId="13" borderId="80" xfId="0" applyFill="1" applyBorder="1"/>
    <xf numFmtId="3" fontId="0" fillId="13" borderId="81" xfId="0" applyNumberFormat="1" applyFill="1" applyBorder="1"/>
    <xf numFmtId="0" fontId="0" fillId="0" borderId="0" xfId="0" applyFill="1"/>
    <xf numFmtId="0" fontId="0" fillId="8" borderId="22" xfId="0" applyFill="1" applyBorder="1"/>
    <xf numFmtId="3" fontId="0" fillId="8" borderId="82" xfId="0" applyNumberFormat="1" applyFill="1" applyBorder="1"/>
    <xf numFmtId="0" fontId="0" fillId="14" borderId="84" xfId="0" applyFill="1" applyBorder="1"/>
    <xf numFmtId="0" fontId="0" fillId="14" borderId="0" xfId="0" applyFill="1"/>
    <xf numFmtId="3" fontId="0" fillId="14" borderId="0" xfId="0" applyNumberFormat="1" applyFill="1"/>
    <xf numFmtId="3" fontId="0" fillId="0" borderId="0" xfId="0" applyNumberFormat="1" applyFill="1"/>
    <xf numFmtId="0" fontId="0" fillId="8" borderId="0" xfId="0" applyFill="1" applyBorder="1"/>
    <xf numFmtId="3" fontId="0" fillId="13" borderId="79" xfId="0" applyNumberFormat="1" applyFill="1" applyBorder="1"/>
    <xf numFmtId="3" fontId="0" fillId="8" borderId="83" xfId="0" applyNumberFormat="1" applyFill="1" applyBorder="1"/>
    <xf numFmtId="3" fontId="38" fillId="0" borderId="86" xfId="0" applyNumberFormat="1" applyFont="1" applyBorder="1"/>
    <xf numFmtId="3" fontId="38" fillId="0" borderId="87" xfId="0" applyNumberFormat="1" applyFont="1" applyBorder="1"/>
    <xf numFmtId="3" fontId="38" fillId="13" borderId="87" xfId="0" applyNumberFormat="1" applyFont="1" applyFill="1" applyBorder="1"/>
    <xf numFmtId="3" fontId="38" fillId="8" borderId="85" xfId="0" applyNumberFormat="1" applyFont="1" applyFill="1" applyBorder="1"/>
    <xf numFmtId="3" fontId="38" fillId="13" borderId="88" xfId="0" applyNumberFormat="1" applyFont="1" applyFill="1" applyBorder="1"/>
    <xf numFmtId="0" fontId="8" fillId="0" borderId="0" xfId="0" applyFont="1" applyAlignment="1">
      <alignment horizontal="center"/>
    </xf>
    <xf numFmtId="0" fontId="10" fillId="2" borderId="0" xfId="2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17" fontId="0" fillId="2" borderId="62" xfId="0" applyNumberFormat="1" applyFill="1" applyBorder="1" applyAlignment="1">
      <alignment horizontal="center" vertical="center"/>
    </xf>
    <xf numFmtId="17" fontId="0" fillId="2" borderId="12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" fontId="7" fillId="2" borderId="62" xfId="0" applyNumberFormat="1" applyFont="1" applyFill="1" applyBorder="1" applyAlignment="1">
      <alignment horizontal="center" vertical="center"/>
    </xf>
    <xf numFmtId="17" fontId="7" fillId="2" borderId="12" xfId="0" applyNumberFormat="1" applyFont="1" applyFill="1" applyBorder="1" applyAlignment="1">
      <alignment horizontal="center" vertical="center"/>
    </xf>
    <xf numFmtId="17" fontId="7" fillId="2" borderId="52" xfId="0" applyNumberFormat="1" applyFont="1" applyFill="1" applyBorder="1" applyAlignment="1">
      <alignment horizontal="center" vertical="center"/>
    </xf>
    <xf numFmtId="17" fontId="7" fillId="2" borderId="53" xfId="0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37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" fontId="17" fillId="2" borderId="27" xfId="0" applyNumberFormat="1" applyFont="1" applyFill="1" applyBorder="1" applyAlignment="1">
      <alignment horizontal="center" vertical="center"/>
    </xf>
    <xf numFmtId="3" fontId="17" fillId="2" borderId="23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right" vertical="center"/>
    </xf>
    <xf numFmtId="0" fontId="17" fillId="0" borderId="27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172" fontId="14" fillId="8" borderId="27" xfId="0" applyNumberFormat="1" applyFont="1" applyFill="1" applyBorder="1" applyAlignment="1">
      <alignment horizontal="center" vertical="center" wrapText="1"/>
    </xf>
    <xf numFmtId="172" fontId="14" fillId="8" borderId="28" xfId="0" applyNumberFormat="1" applyFont="1" applyFill="1" applyBorder="1" applyAlignment="1">
      <alignment horizontal="center" vertical="center" wrapText="1"/>
    </xf>
    <xf numFmtId="3" fontId="14" fillId="8" borderId="27" xfId="0" applyNumberFormat="1" applyFont="1" applyFill="1" applyBorder="1" applyAlignment="1">
      <alignment horizontal="center" vertical="center"/>
    </xf>
    <xf numFmtId="3" fontId="14" fillId="8" borderId="28" xfId="0" applyNumberFormat="1" applyFont="1" applyFill="1" applyBorder="1" applyAlignment="1">
      <alignment horizontal="center" vertical="center"/>
    </xf>
    <xf numFmtId="165" fontId="14" fillId="8" borderId="27" xfId="0" applyNumberFormat="1" applyFont="1" applyFill="1" applyBorder="1" applyAlignment="1">
      <alignment horizontal="center" vertical="center"/>
    </xf>
    <xf numFmtId="165" fontId="14" fillId="8" borderId="28" xfId="0" applyNumberFormat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172" fontId="14" fillId="8" borderId="1" xfId="0" applyNumberFormat="1" applyFont="1" applyFill="1" applyBorder="1" applyAlignment="1">
      <alignment horizontal="center" vertical="center" wrapText="1"/>
    </xf>
    <xf numFmtId="165" fontId="31" fillId="8" borderId="27" xfId="0" applyNumberFormat="1" applyFont="1" applyFill="1" applyBorder="1" applyAlignment="1">
      <alignment horizontal="center" vertical="center"/>
    </xf>
    <xf numFmtId="165" fontId="31" fillId="8" borderId="28" xfId="0" applyNumberFormat="1" applyFont="1" applyFill="1" applyBorder="1" applyAlignment="1">
      <alignment horizontal="center" vertical="center"/>
    </xf>
    <xf numFmtId="165" fontId="31" fillId="8" borderId="23" xfId="0" applyNumberFormat="1" applyFont="1" applyFill="1" applyBorder="1" applyAlignment="1">
      <alignment horizontal="center" vertical="center"/>
    </xf>
    <xf numFmtId="165" fontId="14" fillId="8" borderId="23" xfId="0" applyNumberFormat="1" applyFont="1" applyFill="1" applyBorder="1" applyAlignment="1">
      <alignment horizontal="center" vertical="center"/>
    </xf>
    <xf numFmtId="172" fontId="31" fillId="8" borderId="1" xfId="0" applyNumberFormat="1" applyFont="1" applyFill="1" applyBorder="1" applyAlignment="1">
      <alignment horizontal="center" vertical="center" wrapText="1"/>
    </xf>
    <xf numFmtId="3" fontId="14" fillId="8" borderId="23" xfId="0" applyNumberFormat="1" applyFont="1" applyFill="1" applyBorder="1" applyAlignment="1">
      <alignment horizontal="center" vertical="center"/>
    </xf>
    <xf numFmtId="3" fontId="31" fillId="8" borderId="27" xfId="0" applyNumberFormat="1" applyFont="1" applyFill="1" applyBorder="1" applyAlignment="1">
      <alignment horizontal="center" vertical="center"/>
    </xf>
    <xf numFmtId="3" fontId="31" fillId="8" borderId="23" xfId="0" applyNumberFormat="1" applyFont="1" applyFill="1" applyBorder="1" applyAlignment="1">
      <alignment horizontal="center" vertical="center"/>
    </xf>
    <xf numFmtId="3" fontId="31" fillId="8" borderId="28" xfId="0" applyNumberFormat="1" applyFont="1" applyFill="1" applyBorder="1" applyAlignment="1">
      <alignment horizontal="center" vertical="center"/>
    </xf>
    <xf numFmtId="165" fontId="14" fillId="8" borderId="60" xfId="0" applyNumberFormat="1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45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1" fillId="8" borderId="23" xfId="0" applyFont="1" applyFill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/>
    </xf>
    <xf numFmtId="3" fontId="14" fillId="8" borderId="60" xfId="0" applyNumberFormat="1" applyFont="1" applyFill="1" applyBorder="1" applyAlignment="1">
      <alignment horizontal="center" vertical="center"/>
    </xf>
    <xf numFmtId="165" fontId="31" fillId="8" borderId="60" xfId="0" applyNumberFormat="1" applyFont="1" applyFill="1" applyBorder="1" applyAlignment="1">
      <alignment horizontal="center" vertical="center"/>
    </xf>
    <xf numFmtId="3" fontId="31" fillId="8" borderId="60" xfId="0" applyNumberFormat="1" applyFont="1" applyFill="1" applyBorder="1" applyAlignment="1">
      <alignment horizontal="center" vertical="center"/>
    </xf>
    <xf numFmtId="165" fontId="14" fillId="2" borderId="27" xfId="0" applyNumberFormat="1" applyFont="1" applyFill="1" applyBorder="1" applyAlignment="1">
      <alignment horizontal="center" vertical="center"/>
    </xf>
    <xf numFmtId="165" fontId="14" fillId="2" borderId="60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65" fontId="31" fillId="2" borderId="27" xfId="0" applyNumberFormat="1" applyFont="1" applyFill="1" applyBorder="1" applyAlignment="1">
      <alignment horizontal="center" vertical="center"/>
    </xf>
    <xf numFmtId="165" fontId="31" fillId="2" borderId="60" xfId="0" applyNumberFormat="1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 vertical="center"/>
    </xf>
  </cellXfs>
  <cellStyles count="16">
    <cellStyle name="Encabezado_tabla" xfId="11" xr:uid="{00000000-0005-0000-0000-000000000000}"/>
    <cellStyle name="Hipervínculo" xfId="12" builtinId="8"/>
    <cellStyle name="Millares" xfId="1" builtinId="3"/>
    <cellStyle name="Millares [0]" xfId="15" builtinId="6"/>
    <cellStyle name="Millares 2" xfId="4" xr:uid="{00000000-0005-0000-0000-000004000000}"/>
    <cellStyle name="Millares 3" xfId="5" xr:uid="{00000000-0005-0000-0000-000005000000}"/>
    <cellStyle name="Moneda" xfId="13" builtinId="4"/>
    <cellStyle name="Moneda 2" xfId="6" xr:uid="{00000000-0005-0000-0000-000007000000}"/>
    <cellStyle name="Moneda 3" xfId="9" xr:uid="{00000000-0005-0000-0000-000008000000}"/>
    <cellStyle name="Normal" xfId="0" builtinId="0"/>
    <cellStyle name="Normal 2" xfId="3" xr:uid="{00000000-0005-0000-0000-00000A000000}"/>
    <cellStyle name="Normal 3" xfId="2" xr:uid="{00000000-0005-0000-0000-00000B000000}"/>
    <cellStyle name="Normal 3 2" xfId="8" xr:uid="{00000000-0005-0000-0000-00000C000000}"/>
    <cellStyle name="Normal 4" xfId="14" xr:uid="{00000000-0005-0000-0000-00000D000000}"/>
    <cellStyle name="Porcentaje" xfId="10" builtinId="5"/>
    <cellStyle name="Porcentaje 2" xfId="7" xr:uid="{00000000-0005-0000-0000-00000F000000}"/>
  </cellStyles>
  <dxfs count="0"/>
  <tableStyles count="0" defaultTableStyle="TableStyleMedium2" defaultPivotStyle="PivotStyleLight16"/>
  <colors>
    <mruColors>
      <color rgb="FF9DB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</xdr:col>
      <xdr:colOff>9525</xdr:colOff>
      <xdr:row>11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1525"/>
          <a:ext cx="942975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2057400</xdr:colOff>
      <xdr:row>3</xdr:row>
      <xdr:rowOff>122873</xdr:rowOff>
    </xdr:to>
    <xdr:pic>
      <xdr:nvPicPr>
        <xdr:cNvPr id="6" name="Imagen 5" descr="http://www.javerianacali.edu.co/sites/ujc/files/field/image/puj_logo_azul_copi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57400" cy="6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showGridLines="0" tabSelected="1" workbookViewId="0">
      <selection activeCell="B15" sqref="B15"/>
    </sheetView>
  </sheetViews>
  <sheetFormatPr baseColWidth="10" defaultRowHeight="14.5" x14ac:dyDescent="0.35"/>
  <cols>
    <col min="2" max="2" width="141.453125" customWidth="1"/>
  </cols>
  <sheetData>
    <row r="1" spans="1:2" x14ac:dyDescent="0.35">
      <c r="A1" s="12"/>
      <c r="B1" s="12"/>
    </row>
    <row r="2" spans="1:2" x14ac:dyDescent="0.35">
      <c r="A2" s="12"/>
    </row>
    <row r="3" spans="1:2" x14ac:dyDescent="0.35">
      <c r="A3" s="12"/>
      <c r="B3" s="12"/>
    </row>
    <row r="4" spans="1:2" x14ac:dyDescent="0.35">
      <c r="A4" s="12"/>
      <c r="B4" s="12"/>
    </row>
    <row r="5" spans="1:2" x14ac:dyDescent="0.35">
      <c r="A5" s="12"/>
      <c r="B5" s="12"/>
    </row>
    <row r="6" spans="1:2" x14ac:dyDescent="0.35">
      <c r="A6" s="12"/>
      <c r="B6" s="12"/>
    </row>
    <row r="7" spans="1:2" x14ac:dyDescent="0.35">
      <c r="A7" s="12"/>
      <c r="B7" s="12"/>
    </row>
    <row r="8" spans="1:2" x14ac:dyDescent="0.35">
      <c r="A8" s="12"/>
      <c r="B8" s="12"/>
    </row>
    <row r="9" spans="1:2" x14ac:dyDescent="0.35">
      <c r="A9" s="12"/>
      <c r="B9" s="12"/>
    </row>
    <row r="10" spans="1:2" x14ac:dyDescent="0.35">
      <c r="A10" s="12"/>
      <c r="B10" s="12"/>
    </row>
    <row r="11" spans="1:2" x14ac:dyDescent="0.35">
      <c r="A11" s="12"/>
      <c r="B11" s="12"/>
    </row>
    <row r="12" spans="1:2" x14ac:dyDescent="0.35">
      <c r="A12" s="12"/>
      <c r="B12" s="13"/>
    </row>
    <row r="13" spans="1:2" x14ac:dyDescent="0.35">
      <c r="A13" s="12"/>
      <c r="B13" s="12"/>
    </row>
    <row r="14" spans="1:2" ht="19.5" x14ac:dyDescent="0.35">
      <c r="A14" s="12"/>
      <c r="B14" s="14" t="s">
        <v>78</v>
      </c>
    </row>
    <row r="15" spans="1:2" ht="17.5" x14ac:dyDescent="0.35">
      <c r="A15" s="12"/>
      <c r="B15" s="15" t="s">
        <v>80</v>
      </c>
    </row>
    <row r="16" spans="1:2" x14ac:dyDescent="0.35">
      <c r="A16" s="12"/>
      <c r="B16" s="12"/>
    </row>
    <row r="17" spans="1:2" x14ac:dyDescent="0.35">
      <c r="A17" s="12"/>
      <c r="B17" s="16" t="s">
        <v>79</v>
      </c>
    </row>
    <row r="18" spans="1:2" x14ac:dyDescent="0.35">
      <c r="B18" s="372" t="s">
        <v>305</v>
      </c>
    </row>
    <row r="19" spans="1:2" x14ac:dyDescent="0.35">
      <c r="B19" s="372" t="s">
        <v>306</v>
      </c>
    </row>
    <row r="20" spans="1:2" x14ac:dyDescent="0.35">
      <c r="B20" s="56" t="s">
        <v>307</v>
      </c>
    </row>
  </sheetData>
  <sheetProtection algorithmName="SHA-512" hashValue="LNIjdcWHPhQ0jrKlQscZHRf4rdX/L5S96cy0EDsKt4sKZWOjdOSY/mnqxI6XN0hUrMH/IGfF85vZEIsK8Qd6WQ==" saltValue="FOofee19RJo9C0U92UZMeA==" spinCount="100000" sheet="1" objects="1" scenarios="1" formatCells="0" formatColumns="0" formatRows="0" insertRows="0" insertHyperlinks="0"/>
  <hyperlinks>
    <hyperlink ref="B20" location="OtrosConceptos!A1" display="Otros conceptos 2021-2022" xr:uid="{00000000-0004-0000-0000-000004000000}"/>
    <hyperlink ref="B19" location="'Valores Matricula2023 - 2024'!A1" display="Valores de matrícula 2023-2024" xr:uid="{60122755-5199-48BE-AE73-2BFDFF29CD4D}"/>
    <hyperlink ref="B18" location="'Valor de los Proyectos2024'!A1" display="Valor de los proyectos 2024" xr:uid="{19E65121-263F-4F8B-B874-C063302CCFC8}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showGridLines="0" zoomScale="90" zoomScaleNormal="90" zoomScaleSheetLayoutView="100" workbookViewId="0"/>
  </sheetViews>
  <sheetFormatPr baseColWidth="10" defaultRowHeight="14.5" x14ac:dyDescent="0.35"/>
  <cols>
    <col min="1" max="1" width="18.54296875" customWidth="1"/>
    <col min="2" max="3" width="5.26953125" customWidth="1"/>
    <col min="4" max="4" width="67" style="1" customWidth="1"/>
    <col min="5" max="8" width="14.81640625" customWidth="1"/>
    <col min="9" max="9" width="25" customWidth="1"/>
    <col min="10" max="10" width="24.1796875" style="2" customWidth="1"/>
  </cols>
  <sheetData>
    <row r="1" spans="1:11" x14ac:dyDescent="0.35">
      <c r="A1" s="56" t="s">
        <v>83</v>
      </c>
    </row>
    <row r="2" spans="1:11" ht="26" x14ac:dyDescent="0.6">
      <c r="B2" s="445" t="s">
        <v>82</v>
      </c>
      <c r="C2" s="445"/>
      <c r="D2" s="445"/>
      <c r="E2" s="445"/>
      <c r="F2" s="445"/>
      <c r="G2" s="445"/>
      <c r="H2" s="445"/>
      <c r="I2" s="445"/>
      <c r="J2" s="445"/>
    </row>
    <row r="3" spans="1:11" ht="21" x14ac:dyDescent="0.5">
      <c r="B3" s="446" t="s">
        <v>390</v>
      </c>
      <c r="C3" s="446"/>
      <c r="D3" s="446"/>
      <c r="E3" s="446"/>
      <c r="F3" s="446"/>
      <c r="G3" s="446"/>
      <c r="H3" s="446"/>
      <c r="I3" s="446"/>
      <c r="J3" s="446"/>
    </row>
    <row r="4" spans="1:11" ht="15" thickBot="1" x14ac:dyDescent="0.4"/>
    <row r="5" spans="1:11" ht="47" thickBot="1" x14ac:dyDescent="0.4">
      <c r="B5" s="447" t="s">
        <v>7</v>
      </c>
      <c r="C5" s="448"/>
      <c r="D5" s="449"/>
      <c r="E5" s="17" t="s">
        <v>1</v>
      </c>
      <c r="F5" s="17" t="s">
        <v>2</v>
      </c>
      <c r="G5" s="17" t="s">
        <v>4</v>
      </c>
      <c r="H5" s="17" t="s">
        <v>6</v>
      </c>
      <c r="I5" s="17" t="s">
        <v>5</v>
      </c>
      <c r="J5" s="18" t="s">
        <v>392</v>
      </c>
      <c r="K5" s="271"/>
    </row>
    <row r="6" spans="1:11" ht="19" thickBot="1" x14ac:dyDescent="0.4">
      <c r="B6" s="452" t="s">
        <v>226</v>
      </c>
      <c r="C6" s="453"/>
      <c r="D6" s="453"/>
      <c r="E6" s="453"/>
      <c r="F6" s="453"/>
      <c r="G6" s="453"/>
      <c r="H6" s="453"/>
      <c r="I6" s="454"/>
      <c r="J6" s="37">
        <f>SUM(J7:J7)</f>
        <v>2023</v>
      </c>
      <c r="K6" s="413"/>
    </row>
    <row r="7" spans="1:11" ht="19" thickBot="1" x14ac:dyDescent="0.4">
      <c r="B7" s="346"/>
      <c r="C7" s="265" t="s">
        <v>227</v>
      </c>
      <c r="D7" s="26" t="s">
        <v>391</v>
      </c>
      <c r="E7" s="21">
        <v>45309</v>
      </c>
      <c r="F7" s="21">
        <v>45644</v>
      </c>
      <c r="G7" s="28"/>
      <c r="H7" s="28"/>
      <c r="I7" s="28" t="s">
        <v>8</v>
      </c>
      <c r="J7" s="30">
        <v>2023</v>
      </c>
      <c r="K7" s="413"/>
    </row>
    <row r="8" spans="1:11" ht="16" thickBot="1" x14ac:dyDescent="0.4">
      <c r="B8" s="409"/>
      <c r="C8" s="410"/>
      <c r="D8" s="410"/>
      <c r="E8" s="411"/>
      <c r="F8" s="411"/>
      <c r="G8" s="411"/>
      <c r="H8" s="411"/>
      <c r="I8" s="411"/>
      <c r="J8" s="412"/>
      <c r="K8" s="413"/>
    </row>
    <row r="9" spans="1:11" ht="21.5" thickBot="1" x14ac:dyDescent="0.4">
      <c r="B9" s="450" t="s">
        <v>3</v>
      </c>
      <c r="C9" s="451"/>
      <c r="D9" s="451"/>
      <c r="E9" s="451"/>
      <c r="F9" s="451"/>
      <c r="G9" s="48"/>
      <c r="H9" s="48"/>
      <c r="I9" s="49"/>
      <c r="J9" s="50">
        <f>+J6</f>
        <v>2023</v>
      </c>
    </row>
    <row r="11" spans="1:11" x14ac:dyDescent="0.35">
      <c r="J11" s="273"/>
    </row>
  </sheetData>
  <sheetProtection algorithmName="SHA-512" hashValue="JAEOh5uUvbhv3mmRL8xWnQAHIzTMYcdV3DyemFRt/yakFE3jSt71dajaCP3P0fmszxCEGSDID3BWIyY+3rMoxQ==" saltValue="sC5CUj7arsK5GlFTEprQRA==" spinCount="100000" sheet="1" formatCells="0" formatColumns="0" formatRows="0" insertColumns="0" insertRows="0" insertHyperlinks="0" deleteColumns="0" deleteRows="0" sort="0" autoFilter="0"/>
  <sortState ref="D28:J31">
    <sortCondition descending="1" ref="J28:J31"/>
  </sortState>
  <mergeCells count="5">
    <mergeCell ref="B2:J2"/>
    <mergeCell ref="B3:J3"/>
    <mergeCell ref="B5:D5"/>
    <mergeCell ref="B9:F9"/>
    <mergeCell ref="B6:I6"/>
  </mergeCells>
  <hyperlinks>
    <hyperlink ref="A1" location="Contenido!A1" display="Volver al menú" xr:uid="{00000000-0004-0000-0100-000000000000}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98AD-C893-4363-B4EA-932F166315B0}">
  <dimension ref="A1:K45"/>
  <sheetViews>
    <sheetView showGridLines="0" topLeftCell="A34" zoomScale="90" zoomScaleNormal="90" zoomScaleSheetLayoutView="100" workbookViewId="0">
      <selection activeCell="J43" sqref="J43"/>
    </sheetView>
  </sheetViews>
  <sheetFormatPr baseColWidth="10" defaultRowHeight="14.5" x14ac:dyDescent="0.35"/>
  <cols>
    <col min="1" max="1" width="18.54296875" customWidth="1"/>
    <col min="2" max="3" width="5.26953125" customWidth="1"/>
    <col min="4" max="4" width="67" style="1" customWidth="1"/>
    <col min="5" max="8" width="14.81640625" customWidth="1"/>
    <col min="9" max="9" width="25" customWidth="1"/>
    <col min="10" max="10" width="24.1796875" style="2" customWidth="1"/>
  </cols>
  <sheetData>
    <row r="1" spans="1:11" x14ac:dyDescent="0.35">
      <c r="A1" s="56" t="s">
        <v>83</v>
      </c>
    </row>
    <row r="2" spans="1:11" ht="26" x14ac:dyDescent="0.6">
      <c r="B2" s="445" t="s">
        <v>82</v>
      </c>
      <c r="C2" s="445"/>
      <c r="D2" s="445"/>
      <c r="E2" s="445"/>
      <c r="F2" s="445"/>
      <c r="G2" s="445"/>
      <c r="H2" s="445"/>
      <c r="I2" s="445"/>
      <c r="J2" s="445"/>
    </row>
    <row r="3" spans="1:11" ht="21" x14ac:dyDescent="0.5">
      <c r="B3" s="446" t="s">
        <v>275</v>
      </c>
      <c r="C3" s="446"/>
      <c r="D3" s="446"/>
      <c r="E3" s="446"/>
      <c r="F3" s="446"/>
      <c r="G3" s="446"/>
      <c r="H3" s="446"/>
      <c r="I3" s="446"/>
      <c r="J3" s="446"/>
    </row>
    <row r="4" spans="1:11" ht="15" thickBot="1" x14ac:dyDescent="0.4"/>
    <row r="5" spans="1:11" ht="47" thickBot="1" x14ac:dyDescent="0.4">
      <c r="B5" s="447" t="s">
        <v>7</v>
      </c>
      <c r="C5" s="448"/>
      <c r="D5" s="449"/>
      <c r="E5" s="17" t="s">
        <v>1</v>
      </c>
      <c r="F5" s="17" t="s">
        <v>2</v>
      </c>
      <c r="G5" s="17" t="s">
        <v>4</v>
      </c>
      <c r="H5" s="17" t="s">
        <v>6</v>
      </c>
      <c r="I5" s="17" t="s">
        <v>5</v>
      </c>
      <c r="J5" s="18" t="s">
        <v>281</v>
      </c>
      <c r="K5" s="271"/>
    </row>
    <row r="6" spans="1:11" ht="19" thickBot="1" x14ac:dyDescent="0.4">
      <c r="B6" s="462" t="s">
        <v>206</v>
      </c>
      <c r="C6" s="463"/>
      <c r="D6" s="463"/>
      <c r="E6" s="463"/>
      <c r="F6" s="463"/>
      <c r="G6" s="463"/>
      <c r="H6" s="463"/>
      <c r="I6" s="464"/>
      <c r="J6" s="19">
        <f>SUM(J7:J8)</f>
        <v>10271</v>
      </c>
      <c r="K6" s="270"/>
    </row>
    <row r="7" spans="1:11" ht="15.5" x14ac:dyDescent="0.35">
      <c r="B7" s="20"/>
      <c r="C7" s="261" t="s">
        <v>210</v>
      </c>
      <c r="D7" s="26" t="s">
        <v>77</v>
      </c>
      <c r="E7" s="21">
        <v>44579</v>
      </c>
      <c r="F7" s="21">
        <v>44913</v>
      </c>
      <c r="G7" s="22" t="s">
        <v>8</v>
      </c>
      <c r="H7" s="23"/>
      <c r="I7" s="22" t="s">
        <v>8</v>
      </c>
      <c r="J7" s="24">
        <v>8500</v>
      </c>
      <c r="K7" s="270"/>
    </row>
    <row r="8" spans="1:11" ht="31.5" thickBot="1" x14ac:dyDescent="0.4">
      <c r="B8" s="153"/>
      <c r="C8" s="262" t="s">
        <v>211</v>
      </c>
      <c r="D8" s="154" t="s">
        <v>165</v>
      </c>
      <c r="E8" s="155">
        <v>44562</v>
      </c>
      <c r="F8" s="155">
        <v>44896</v>
      </c>
      <c r="G8" s="151" t="s">
        <v>8</v>
      </c>
      <c r="H8" s="152"/>
      <c r="I8" s="151" t="s">
        <v>8</v>
      </c>
      <c r="J8" s="156">
        <v>1771</v>
      </c>
    </row>
    <row r="9" spans="1:11" x14ac:dyDescent="0.35">
      <c r="B9" s="57"/>
      <c r="C9" s="145"/>
      <c r="D9" s="147"/>
      <c r="E9" s="143"/>
      <c r="F9" s="143"/>
      <c r="G9" s="144"/>
      <c r="H9" s="145"/>
      <c r="I9" s="146"/>
      <c r="J9" s="58"/>
    </row>
    <row r="10" spans="1:11" ht="19" thickBot="1" x14ac:dyDescent="0.4">
      <c r="B10" s="462" t="s">
        <v>207</v>
      </c>
      <c r="C10" s="463"/>
      <c r="D10" s="463"/>
      <c r="E10" s="463"/>
      <c r="F10" s="463"/>
      <c r="G10" s="463"/>
      <c r="H10" s="463"/>
      <c r="I10" s="464"/>
      <c r="J10" s="31">
        <f>SUM(J11:J12)</f>
        <v>2102</v>
      </c>
    </row>
    <row r="11" spans="1:11" ht="48.75" customHeight="1" x14ac:dyDescent="0.35">
      <c r="B11" s="25"/>
      <c r="C11" s="260" t="s">
        <v>208</v>
      </c>
      <c r="D11" s="26" t="s">
        <v>0</v>
      </c>
      <c r="E11" s="465" t="s">
        <v>153</v>
      </c>
      <c r="F11" s="466"/>
      <c r="G11" s="28" t="s">
        <v>8</v>
      </c>
      <c r="H11" s="29"/>
      <c r="I11" s="28" t="s">
        <v>8</v>
      </c>
      <c r="J11" s="30">
        <v>1682</v>
      </c>
    </row>
    <row r="12" spans="1:11" ht="48.75" customHeight="1" thickBot="1" x14ac:dyDescent="0.4">
      <c r="B12" s="25"/>
      <c r="C12" s="260" t="s">
        <v>209</v>
      </c>
      <c r="D12" s="26" t="s">
        <v>76</v>
      </c>
      <c r="E12" s="465" t="s">
        <v>153</v>
      </c>
      <c r="F12" s="466"/>
      <c r="G12" s="28" t="s">
        <v>8</v>
      </c>
      <c r="H12" s="29"/>
      <c r="I12" s="28" t="s">
        <v>8</v>
      </c>
      <c r="J12" s="30">
        <v>420</v>
      </c>
    </row>
    <row r="13" spans="1:11" ht="19" thickBot="1" x14ac:dyDescent="0.4">
      <c r="B13" s="452" t="s">
        <v>212</v>
      </c>
      <c r="C13" s="453"/>
      <c r="D13" s="453"/>
      <c r="E13" s="453"/>
      <c r="F13" s="453"/>
      <c r="G13" s="453"/>
      <c r="H13" s="453"/>
      <c r="I13" s="454"/>
      <c r="J13" s="37">
        <f>SUM(J14:J15)</f>
        <v>1102</v>
      </c>
    </row>
    <row r="14" spans="1:11" ht="47.25" customHeight="1" x14ac:dyDescent="0.35">
      <c r="B14" s="20"/>
      <c r="C14" s="260" t="s">
        <v>213</v>
      </c>
      <c r="D14" s="38" t="s">
        <v>12</v>
      </c>
      <c r="E14" s="467" t="s">
        <v>153</v>
      </c>
      <c r="F14" s="468"/>
      <c r="G14" s="28" t="s">
        <v>8</v>
      </c>
      <c r="H14" s="23"/>
      <c r="I14" s="28" t="s">
        <v>8</v>
      </c>
      <c r="J14" s="24">
        <v>477</v>
      </c>
    </row>
    <row r="15" spans="1:11" ht="47.25" customHeight="1" thickBot="1" x14ac:dyDescent="0.4">
      <c r="B15" s="32"/>
      <c r="C15" s="263" t="s">
        <v>214</v>
      </c>
      <c r="D15" s="33" t="s">
        <v>166</v>
      </c>
      <c r="E15" s="469" t="s">
        <v>153</v>
      </c>
      <c r="F15" s="470"/>
      <c r="G15" s="34" t="s">
        <v>8</v>
      </c>
      <c r="H15" s="35"/>
      <c r="I15" s="34" t="s">
        <v>8</v>
      </c>
      <c r="J15" s="36">
        <v>625</v>
      </c>
    </row>
    <row r="16" spans="1:11" ht="19.5" customHeight="1" thickBot="1" x14ac:dyDescent="0.4">
      <c r="B16" s="452" t="s">
        <v>215</v>
      </c>
      <c r="C16" s="453"/>
      <c r="D16" s="453"/>
      <c r="E16" s="453"/>
      <c r="F16" s="453"/>
      <c r="G16" s="453"/>
      <c r="H16" s="453"/>
      <c r="I16" s="454"/>
      <c r="J16" s="39">
        <f>SUM(J17:J18)</f>
        <v>200</v>
      </c>
      <c r="K16" s="11"/>
    </row>
    <row r="17" spans="2:10" ht="52.5" customHeight="1" x14ac:dyDescent="0.35">
      <c r="B17" s="25"/>
      <c r="C17" s="260" t="s">
        <v>216</v>
      </c>
      <c r="D17" s="26" t="s">
        <v>84</v>
      </c>
      <c r="E17" s="27">
        <v>44562</v>
      </c>
      <c r="F17" s="27">
        <v>44896</v>
      </c>
      <c r="G17" s="28" t="s">
        <v>8</v>
      </c>
      <c r="H17" s="29"/>
      <c r="I17" s="28" t="s">
        <v>8</v>
      </c>
      <c r="J17" s="30">
        <v>120</v>
      </c>
    </row>
    <row r="18" spans="2:10" ht="52.5" customHeight="1" thickBot="1" x14ac:dyDescent="0.4">
      <c r="B18" s="25"/>
      <c r="C18" s="260" t="s">
        <v>217</v>
      </c>
      <c r="D18" s="26" t="s">
        <v>282</v>
      </c>
      <c r="E18" s="27">
        <v>44562</v>
      </c>
      <c r="F18" s="27">
        <v>44896</v>
      </c>
      <c r="G18" s="28" t="s">
        <v>8</v>
      </c>
      <c r="H18" s="29"/>
      <c r="I18" s="28" t="s">
        <v>8</v>
      </c>
      <c r="J18" s="30">
        <v>80</v>
      </c>
    </row>
    <row r="19" spans="2:10" ht="52.5" customHeight="1" thickBot="1" x14ac:dyDescent="0.4">
      <c r="B19" s="459" t="s">
        <v>218</v>
      </c>
      <c r="C19" s="460"/>
      <c r="D19" s="460"/>
      <c r="E19" s="460"/>
      <c r="F19" s="460"/>
      <c r="G19" s="460"/>
      <c r="H19" s="460"/>
      <c r="I19" s="461"/>
      <c r="J19" s="37">
        <f>SUM(J20:J20)</f>
        <v>1300</v>
      </c>
    </row>
    <row r="20" spans="2:10" ht="52.5" customHeight="1" thickBot="1" x14ac:dyDescent="0.4">
      <c r="B20" s="264"/>
      <c r="C20" s="260" t="s">
        <v>219</v>
      </c>
      <c r="D20" s="26" t="s">
        <v>143</v>
      </c>
      <c r="E20" s="44">
        <v>44562</v>
      </c>
      <c r="F20" s="44">
        <v>44896</v>
      </c>
      <c r="G20" s="34" t="s">
        <v>8</v>
      </c>
      <c r="H20" s="35"/>
      <c r="I20" s="34" t="s">
        <v>8</v>
      </c>
      <c r="J20" s="36">
        <v>1300</v>
      </c>
    </row>
    <row r="21" spans="2:10" ht="42" customHeight="1" thickBot="1" x14ac:dyDescent="0.4">
      <c r="B21" s="452" t="s">
        <v>220</v>
      </c>
      <c r="C21" s="453"/>
      <c r="D21" s="453"/>
      <c r="E21" s="453"/>
      <c r="F21" s="453"/>
      <c r="G21" s="453"/>
      <c r="H21" s="453"/>
      <c r="I21" s="454"/>
      <c r="J21" s="37">
        <f>SUM(J22:J24)</f>
        <v>3660</v>
      </c>
    </row>
    <row r="22" spans="2:10" ht="48.75" customHeight="1" x14ac:dyDescent="0.35">
      <c r="B22" s="20"/>
      <c r="C22" s="261" t="s">
        <v>221</v>
      </c>
      <c r="D22" s="45" t="s">
        <v>86</v>
      </c>
      <c r="E22" s="27">
        <v>44562</v>
      </c>
      <c r="F22" s="27">
        <v>44896</v>
      </c>
      <c r="G22" s="28" t="s">
        <v>8</v>
      </c>
      <c r="H22" s="29"/>
      <c r="I22" s="28" t="s">
        <v>8</v>
      </c>
      <c r="J22" s="24">
        <v>1455</v>
      </c>
    </row>
    <row r="23" spans="2:10" ht="48.75" customHeight="1" x14ac:dyDescent="0.35">
      <c r="B23" s="25"/>
      <c r="C23" s="261" t="s">
        <v>222</v>
      </c>
      <c r="D23" s="45" t="s">
        <v>167</v>
      </c>
      <c r="E23" s="44">
        <v>44562</v>
      </c>
      <c r="F23" s="44">
        <v>44896</v>
      </c>
      <c r="G23" s="28" t="s">
        <v>8</v>
      </c>
      <c r="H23" s="29"/>
      <c r="I23" s="28" t="s">
        <v>8</v>
      </c>
      <c r="J23" s="30">
        <v>1495</v>
      </c>
    </row>
    <row r="24" spans="2:10" ht="48.75" customHeight="1" thickBot="1" x14ac:dyDescent="0.4">
      <c r="B24" s="25"/>
      <c r="C24" s="261" t="s">
        <v>223</v>
      </c>
      <c r="D24" s="45" t="s">
        <v>85</v>
      </c>
      <c r="E24" s="44">
        <v>44562</v>
      </c>
      <c r="F24" s="44">
        <v>44896</v>
      </c>
      <c r="G24" s="28" t="s">
        <v>8</v>
      </c>
      <c r="H24" s="29"/>
      <c r="I24" s="28" t="s">
        <v>8</v>
      </c>
      <c r="J24" s="30">
        <v>710</v>
      </c>
    </row>
    <row r="25" spans="2:10" ht="19" thickBot="1" x14ac:dyDescent="0.4">
      <c r="B25" s="452" t="s">
        <v>224</v>
      </c>
      <c r="C25" s="453"/>
      <c r="D25" s="453"/>
      <c r="E25" s="453"/>
      <c r="F25" s="453"/>
      <c r="G25" s="453"/>
      <c r="H25" s="453"/>
      <c r="I25" s="454"/>
      <c r="J25" s="37">
        <f>SUM(J26:J26)</f>
        <v>1010</v>
      </c>
    </row>
    <row r="26" spans="2:10" ht="45" customHeight="1" thickBot="1" x14ac:dyDescent="0.4">
      <c r="B26" s="20"/>
      <c r="C26" s="261" t="s">
        <v>225</v>
      </c>
      <c r="D26" s="38" t="s">
        <v>168</v>
      </c>
      <c r="E26" s="27">
        <v>44562</v>
      </c>
      <c r="F26" s="27">
        <v>44896</v>
      </c>
      <c r="G26" s="28" t="s">
        <v>8</v>
      </c>
      <c r="H26" s="23"/>
      <c r="I26" s="28" t="s">
        <v>8</v>
      </c>
      <c r="J26" s="304">
        <v>1010</v>
      </c>
    </row>
    <row r="27" spans="2:10" ht="45" customHeight="1" thickBot="1" x14ac:dyDescent="0.4">
      <c r="B27" s="452" t="s">
        <v>226</v>
      </c>
      <c r="C27" s="453"/>
      <c r="D27" s="453"/>
      <c r="E27" s="453"/>
      <c r="F27" s="453"/>
      <c r="G27" s="453"/>
      <c r="H27" s="453"/>
      <c r="I27" s="454"/>
      <c r="J27" s="37">
        <f>SUM(J28:J31)</f>
        <v>4302</v>
      </c>
    </row>
    <row r="28" spans="2:10" ht="45" customHeight="1" x14ac:dyDescent="0.35">
      <c r="B28" s="346"/>
      <c r="C28" s="265" t="s">
        <v>227</v>
      </c>
      <c r="D28" s="26" t="s">
        <v>277</v>
      </c>
      <c r="E28" s="21">
        <v>44579</v>
      </c>
      <c r="F28" s="21">
        <v>44913</v>
      </c>
      <c r="G28" s="28"/>
      <c r="H28" s="28" t="s">
        <v>247</v>
      </c>
      <c r="I28" s="28"/>
      <c r="J28" s="30">
        <v>3000</v>
      </c>
    </row>
    <row r="29" spans="2:10" ht="45" customHeight="1" thickBot="1" x14ac:dyDescent="0.4">
      <c r="B29" s="347"/>
      <c r="C29" s="266" t="s">
        <v>228</v>
      </c>
      <c r="D29" s="26" t="s">
        <v>278</v>
      </c>
      <c r="E29" s="155">
        <v>44562</v>
      </c>
      <c r="F29" s="155">
        <v>44896</v>
      </c>
      <c r="G29" s="28" t="s">
        <v>8</v>
      </c>
      <c r="H29" s="29"/>
      <c r="I29" s="28" t="s">
        <v>8</v>
      </c>
      <c r="J29" s="30">
        <v>570</v>
      </c>
    </row>
    <row r="30" spans="2:10" ht="45" customHeight="1" thickBot="1" x14ac:dyDescent="0.4">
      <c r="B30" s="348"/>
      <c r="C30" s="266" t="s">
        <v>229</v>
      </c>
      <c r="D30" s="26" t="s">
        <v>283</v>
      </c>
      <c r="E30" s="155">
        <v>44562</v>
      </c>
      <c r="F30" s="155">
        <v>44896</v>
      </c>
      <c r="G30" s="28"/>
      <c r="H30" s="29"/>
      <c r="I30" s="28"/>
      <c r="J30" s="30">
        <v>324</v>
      </c>
    </row>
    <row r="31" spans="2:10" ht="45" customHeight="1" thickBot="1" x14ac:dyDescent="0.4">
      <c r="B31" s="349"/>
      <c r="C31" s="266" t="s">
        <v>279</v>
      </c>
      <c r="D31" s="26" t="s">
        <v>284</v>
      </c>
      <c r="E31" s="44">
        <v>44562</v>
      </c>
      <c r="F31" s="44">
        <v>44896</v>
      </c>
      <c r="G31" s="28" t="s">
        <v>8</v>
      </c>
      <c r="H31" s="29"/>
      <c r="I31" s="28" t="s">
        <v>8</v>
      </c>
      <c r="J31" s="30">
        <v>408</v>
      </c>
    </row>
    <row r="32" spans="2:10" ht="45" customHeight="1" thickBot="1" x14ac:dyDescent="0.4">
      <c r="B32" s="452" t="s">
        <v>230</v>
      </c>
      <c r="C32" s="453"/>
      <c r="D32" s="453"/>
      <c r="E32" s="453"/>
      <c r="F32" s="453"/>
      <c r="G32" s="453"/>
      <c r="H32" s="453"/>
      <c r="I32" s="454"/>
      <c r="J32" s="37">
        <f>SUM(J33:J34)</f>
        <v>2200</v>
      </c>
    </row>
    <row r="33" spans="2:10" ht="45" customHeight="1" x14ac:dyDescent="0.35">
      <c r="B33" s="20"/>
      <c r="C33" s="265" t="s">
        <v>231</v>
      </c>
      <c r="D33" s="26" t="s">
        <v>245</v>
      </c>
      <c r="E33" s="27">
        <v>44562</v>
      </c>
      <c r="F33" s="27">
        <v>44896</v>
      </c>
      <c r="G33" s="28" t="s">
        <v>8</v>
      </c>
      <c r="H33" s="29"/>
      <c r="I33" s="28" t="s">
        <v>8</v>
      </c>
      <c r="J33" s="30">
        <v>1900</v>
      </c>
    </row>
    <row r="34" spans="2:10" ht="45" customHeight="1" thickBot="1" x14ac:dyDescent="0.4">
      <c r="B34" s="25"/>
      <c r="C34" s="266" t="s">
        <v>232</v>
      </c>
      <c r="D34" s="26" t="s">
        <v>142</v>
      </c>
      <c r="E34" s="44">
        <v>44562</v>
      </c>
      <c r="F34" s="44">
        <v>44896</v>
      </c>
      <c r="G34" s="28" t="s">
        <v>8</v>
      </c>
      <c r="H34" s="29"/>
      <c r="I34" s="28" t="s">
        <v>8</v>
      </c>
      <c r="J34" s="30">
        <v>300</v>
      </c>
    </row>
    <row r="35" spans="2:10" ht="19" thickBot="1" x14ac:dyDescent="0.4">
      <c r="B35" s="452" t="s">
        <v>233</v>
      </c>
      <c r="C35" s="453"/>
      <c r="D35" s="453"/>
      <c r="E35" s="453"/>
      <c r="F35" s="453"/>
      <c r="G35" s="453"/>
      <c r="H35" s="453"/>
      <c r="I35" s="454"/>
      <c r="J35" s="37">
        <f>SUM(J36:J36)</f>
        <v>2200</v>
      </c>
    </row>
    <row r="36" spans="2:10" ht="51.75" customHeight="1" thickBot="1" x14ac:dyDescent="0.4">
      <c r="B36" s="40"/>
      <c r="C36" s="261" t="s">
        <v>234</v>
      </c>
      <c r="D36" s="46" t="s">
        <v>87</v>
      </c>
      <c r="E36" s="457" t="s">
        <v>153</v>
      </c>
      <c r="F36" s="458"/>
      <c r="G36" s="41" t="s">
        <v>8</v>
      </c>
      <c r="H36" s="42"/>
      <c r="I36" s="41" t="s">
        <v>8</v>
      </c>
      <c r="J36" s="43">
        <v>2200</v>
      </c>
    </row>
    <row r="37" spans="2:10" ht="19" thickBot="1" x14ac:dyDescent="0.5">
      <c r="B37" s="455" t="s">
        <v>235</v>
      </c>
      <c r="C37" s="454"/>
      <c r="D37" s="456"/>
      <c r="E37" s="47"/>
      <c r="F37" s="47"/>
      <c r="G37" s="47"/>
      <c r="H37" s="47"/>
      <c r="I37" s="47"/>
      <c r="J37" s="37">
        <f>SUM(J38:J40)</f>
        <v>576</v>
      </c>
    </row>
    <row r="38" spans="2:10" ht="27" customHeight="1" x14ac:dyDescent="0.35">
      <c r="B38" s="20"/>
      <c r="C38" s="268" t="s">
        <v>236</v>
      </c>
      <c r="D38" s="38" t="s">
        <v>88</v>
      </c>
      <c r="E38" s="27">
        <v>44562</v>
      </c>
      <c r="F38" s="27">
        <v>44896</v>
      </c>
      <c r="G38" s="59" t="s">
        <v>8</v>
      </c>
      <c r="H38" s="60"/>
      <c r="I38" s="59" t="s">
        <v>8</v>
      </c>
      <c r="J38" s="24">
        <v>33</v>
      </c>
    </row>
    <row r="39" spans="2:10" ht="27" customHeight="1" x14ac:dyDescent="0.35">
      <c r="B39" s="40"/>
      <c r="C39" s="260" t="s">
        <v>237</v>
      </c>
      <c r="D39" s="45" t="s">
        <v>141</v>
      </c>
      <c r="E39" s="44">
        <v>44562</v>
      </c>
      <c r="F39" s="44">
        <v>44896</v>
      </c>
      <c r="G39" s="28" t="s">
        <v>8</v>
      </c>
      <c r="H39" s="29"/>
      <c r="I39" s="28" t="s">
        <v>8</v>
      </c>
      <c r="J39" s="43">
        <v>500</v>
      </c>
    </row>
    <row r="40" spans="2:10" ht="27" customHeight="1" thickBot="1" x14ac:dyDescent="0.4">
      <c r="B40" s="57"/>
      <c r="C40" s="144" t="s">
        <v>238</v>
      </c>
      <c r="D40" s="45" t="s">
        <v>89</v>
      </c>
      <c r="E40" s="27">
        <v>44562</v>
      </c>
      <c r="F40" s="27">
        <v>44896</v>
      </c>
      <c r="G40" s="41" t="s">
        <v>8</v>
      </c>
      <c r="H40" s="42"/>
      <c r="I40" s="41" t="s">
        <v>8</v>
      </c>
      <c r="J40" s="43">
        <v>43</v>
      </c>
    </row>
    <row r="41" spans="2:10" ht="44.25" customHeight="1" thickBot="1" x14ac:dyDescent="0.4">
      <c r="B41" s="452" t="s">
        <v>280</v>
      </c>
      <c r="C41" s="453"/>
      <c r="D41" s="453"/>
      <c r="E41" s="453"/>
      <c r="F41" s="453"/>
      <c r="G41" s="453"/>
      <c r="H41" s="453"/>
      <c r="I41" s="454"/>
      <c r="J41" s="37">
        <f>SUM(J42:J42)</f>
        <v>200</v>
      </c>
    </row>
    <row r="42" spans="2:10" ht="44.25" customHeight="1" thickBot="1" x14ac:dyDescent="0.4">
      <c r="B42" s="20"/>
      <c r="C42" s="268" t="s">
        <v>239</v>
      </c>
      <c r="D42" s="38" t="s">
        <v>90</v>
      </c>
      <c r="E42" s="27">
        <v>44579</v>
      </c>
      <c r="F42" s="27">
        <v>44913</v>
      </c>
      <c r="G42" s="22" t="s">
        <v>8</v>
      </c>
      <c r="H42" s="23"/>
      <c r="I42" s="22" t="s">
        <v>8</v>
      </c>
      <c r="J42" s="24">
        <v>200</v>
      </c>
    </row>
    <row r="43" spans="2:10" ht="21.5" thickBot="1" x14ac:dyDescent="0.4">
      <c r="B43" s="450" t="s">
        <v>3</v>
      </c>
      <c r="C43" s="451"/>
      <c r="D43" s="451"/>
      <c r="E43" s="451"/>
      <c r="F43" s="451"/>
      <c r="G43" s="48"/>
      <c r="H43" s="48"/>
      <c r="I43" s="49"/>
      <c r="J43" s="50">
        <f>J19+J37+J35+J25+J21+J16+J13+J10+J6+J41+J27+J32</f>
        <v>29123</v>
      </c>
    </row>
    <row r="45" spans="2:10" x14ac:dyDescent="0.35">
      <c r="J45" s="273"/>
    </row>
  </sheetData>
  <mergeCells count="21">
    <mergeCell ref="B19:I19"/>
    <mergeCell ref="B2:J2"/>
    <mergeCell ref="B3:J3"/>
    <mergeCell ref="B5:D5"/>
    <mergeCell ref="B6:I6"/>
    <mergeCell ref="B10:I10"/>
    <mergeCell ref="E11:F11"/>
    <mergeCell ref="E12:F12"/>
    <mergeCell ref="B13:I13"/>
    <mergeCell ref="E14:F14"/>
    <mergeCell ref="E15:F15"/>
    <mergeCell ref="B16:I16"/>
    <mergeCell ref="B37:D37"/>
    <mergeCell ref="B41:I41"/>
    <mergeCell ref="B43:F43"/>
    <mergeCell ref="B21:I21"/>
    <mergeCell ref="B25:I25"/>
    <mergeCell ref="B27:I27"/>
    <mergeCell ref="B32:I32"/>
    <mergeCell ref="B35:I35"/>
    <mergeCell ref="E36:F36"/>
  </mergeCells>
  <hyperlinks>
    <hyperlink ref="A1" location="Contenido!A1" display="Volver al menú" xr:uid="{62AF2417-D286-4E89-9FB2-A77834DE491F}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58DB-EF8B-4E7C-B0C0-6AF719CCA0D2}">
  <dimension ref="A1:I264"/>
  <sheetViews>
    <sheetView workbookViewId="0"/>
  </sheetViews>
  <sheetFormatPr baseColWidth="10" defaultRowHeight="14.5" x14ac:dyDescent="0.35"/>
  <cols>
    <col min="1" max="1" width="17.7265625" customWidth="1"/>
    <col min="2" max="2" width="9.7265625" bestFit="1" customWidth="1"/>
    <col min="3" max="3" width="6.26953125" bestFit="1" customWidth="1"/>
    <col min="4" max="4" width="42.54296875" bestFit="1" customWidth="1"/>
    <col min="5" max="5" width="11" bestFit="1" customWidth="1"/>
    <col min="6" max="6" width="36.26953125" bestFit="1" customWidth="1"/>
    <col min="7" max="7" width="16.54296875" bestFit="1" customWidth="1"/>
    <col min="8" max="8" width="18.81640625" bestFit="1" customWidth="1"/>
    <col min="9" max="9" width="17.81640625" bestFit="1" customWidth="1"/>
  </cols>
  <sheetData>
    <row r="1" spans="1:9" x14ac:dyDescent="0.35">
      <c r="A1" s="56" t="s">
        <v>83</v>
      </c>
    </row>
    <row r="2" spans="1:9" ht="26" x14ac:dyDescent="0.6">
      <c r="B2" s="471" t="s">
        <v>82</v>
      </c>
      <c r="C2" s="471"/>
      <c r="D2" s="471"/>
      <c r="E2" s="471"/>
      <c r="F2" s="471"/>
      <c r="G2" s="471"/>
    </row>
    <row r="3" spans="1:9" ht="18.5" x14ac:dyDescent="0.45">
      <c r="B3" s="472" t="s">
        <v>912</v>
      </c>
      <c r="C3" s="472"/>
      <c r="D3" s="472"/>
      <c r="E3" s="472"/>
      <c r="F3" s="472"/>
      <c r="G3" s="472"/>
    </row>
    <row r="4" spans="1:9" ht="18.5" x14ac:dyDescent="0.45">
      <c r="B4" s="419"/>
      <c r="C4" s="473" t="s">
        <v>394</v>
      </c>
      <c r="D4" s="473"/>
      <c r="E4" s="473"/>
      <c r="F4" s="473"/>
      <c r="G4" s="473"/>
    </row>
    <row r="5" spans="1:9" ht="18.5" x14ac:dyDescent="0.35">
      <c r="B5" s="473" t="s">
        <v>913</v>
      </c>
      <c r="C5" s="473"/>
      <c r="D5" s="473"/>
      <c r="E5" s="473"/>
      <c r="F5" s="473"/>
      <c r="G5" s="473"/>
    </row>
    <row r="6" spans="1:9" ht="18.5" x14ac:dyDescent="0.35">
      <c r="B6" s="474" t="s">
        <v>395</v>
      </c>
      <c r="C6" s="474"/>
      <c r="D6" s="474"/>
      <c r="E6" s="474"/>
      <c r="F6" s="474"/>
      <c r="G6" s="474"/>
    </row>
    <row r="8" spans="1:9" ht="15" thickBot="1" x14ac:dyDescent="0.4">
      <c r="B8" s="421" t="s">
        <v>396</v>
      </c>
      <c r="C8" s="422" t="s">
        <v>13</v>
      </c>
      <c r="D8" s="422" t="s">
        <v>14</v>
      </c>
      <c r="E8" s="423" t="s">
        <v>15</v>
      </c>
      <c r="F8" s="423" t="s">
        <v>16</v>
      </c>
      <c r="G8" s="422" t="s">
        <v>397</v>
      </c>
      <c r="I8" s="424"/>
    </row>
    <row r="9" spans="1:9" ht="15" thickTop="1" x14ac:dyDescent="0.35">
      <c r="B9" t="s">
        <v>398</v>
      </c>
      <c r="C9" t="s">
        <v>399</v>
      </c>
      <c r="D9" t="s">
        <v>400</v>
      </c>
      <c r="E9" s="428" t="s">
        <v>401</v>
      </c>
      <c r="F9" s="428" t="s">
        <v>402</v>
      </c>
      <c r="G9" s="429">
        <v>16830339522</v>
      </c>
      <c r="H9" s="270"/>
      <c r="I9" s="424"/>
    </row>
    <row r="10" spans="1:9" x14ac:dyDescent="0.35">
      <c r="E10" t="s">
        <v>403</v>
      </c>
      <c r="F10" t="s">
        <v>404</v>
      </c>
      <c r="G10" s="426">
        <v>33100000</v>
      </c>
      <c r="I10" s="424"/>
    </row>
    <row r="11" spans="1:9" x14ac:dyDescent="0.35">
      <c r="E11" t="s">
        <v>405</v>
      </c>
      <c r="F11" t="s">
        <v>406</v>
      </c>
      <c r="G11" s="426">
        <v>73516556073</v>
      </c>
    </row>
    <row r="12" spans="1:9" x14ac:dyDescent="0.35">
      <c r="E12" t="s">
        <v>407</v>
      </c>
      <c r="F12" t="s">
        <v>408</v>
      </c>
      <c r="G12" s="426">
        <v>74205817044</v>
      </c>
      <c r="H12" s="270"/>
    </row>
    <row r="13" spans="1:9" x14ac:dyDescent="0.35">
      <c r="E13" t="s">
        <v>409</v>
      </c>
      <c r="F13" t="s">
        <v>410</v>
      </c>
      <c r="G13" s="426">
        <v>16289938907</v>
      </c>
    </row>
    <row r="14" spans="1:9" x14ac:dyDescent="0.35">
      <c r="E14" t="s">
        <v>411</v>
      </c>
      <c r="F14" t="s">
        <v>412</v>
      </c>
      <c r="G14" s="426">
        <v>14050000000</v>
      </c>
      <c r="H14" s="270"/>
    </row>
    <row r="15" spans="1:9" x14ac:dyDescent="0.35">
      <c r="E15" t="s">
        <v>413</v>
      </c>
      <c r="F15" t="s">
        <v>414</v>
      </c>
      <c r="G15" s="426">
        <v>10202000000</v>
      </c>
      <c r="H15" s="270"/>
      <c r="I15" s="427"/>
    </row>
    <row r="16" spans="1:9" x14ac:dyDescent="0.35">
      <c r="E16" t="s">
        <v>415</v>
      </c>
      <c r="F16" t="s">
        <v>416</v>
      </c>
      <c r="G16" s="426">
        <v>10350000000</v>
      </c>
      <c r="H16" s="427"/>
      <c r="I16" s="424"/>
    </row>
    <row r="17" spans="2:8" x14ac:dyDescent="0.35">
      <c r="E17" t="s">
        <v>417</v>
      </c>
      <c r="F17" t="s">
        <v>418</v>
      </c>
      <c r="G17" s="426">
        <v>1848056000</v>
      </c>
      <c r="H17" s="270"/>
    </row>
    <row r="18" spans="2:8" x14ac:dyDescent="0.35">
      <c r="E18" t="s">
        <v>419</v>
      </c>
      <c r="F18" t="s">
        <v>420</v>
      </c>
      <c r="G18" s="426">
        <v>764800000</v>
      </c>
    </row>
    <row r="19" spans="2:8" x14ac:dyDescent="0.35">
      <c r="E19" t="s">
        <v>421</v>
      </c>
      <c r="F19" t="s">
        <v>422</v>
      </c>
      <c r="G19" s="426">
        <v>1270000000</v>
      </c>
    </row>
    <row r="20" spans="2:8" x14ac:dyDescent="0.35">
      <c r="E20" t="s">
        <v>423</v>
      </c>
      <c r="F20" t="s">
        <v>424</v>
      </c>
      <c r="G20" s="426">
        <v>1118200000</v>
      </c>
    </row>
    <row r="21" spans="2:8" x14ac:dyDescent="0.35">
      <c r="E21" t="s">
        <v>425</v>
      </c>
      <c r="F21" t="s">
        <v>426</v>
      </c>
      <c r="G21" s="426">
        <v>605000000</v>
      </c>
    </row>
    <row r="22" spans="2:8" x14ac:dyDescent="0.35">
      <c r="E22" t="s">
        <v>427</v>
      </c>
      <c r="F22" t="s">
        <v>428</v>
      </c>
      <c r="G22" s="426">
        <v>11000000</v>
      </c>
    </row>
    <row r="23" spans="2:8" x14ac:dyDescent="0.35">
      <c r="E23" t="s">
        <v>429</v>
      </c>
      <c r="F23" t="s">
        <v>430</v>
      </c>
      <c r="G23" s="426">
        <v>1861209000</v>
      </c>
    </row>
    <row r="24" spans="2:8" x14ac:dyDescent="0.35">
      <c r="E24" t="s">
        <v>431</v>
      </c>
      <c r="F24" t="s">
        <v>432</v>
      </c>
      <c r="G24" s="426">
        <v>262800000</v>
      </c>
    </row>
    <row r="25" spans="2:8" x14ac:dyDescent="0.35">
      <c r="E25" t="s">
        <v>433</v>
      </c>
      <c r="F25" t="s">
        <v>434</v>
      </c>
      <c r="G25" s="426">
        <v>2273000</v>
      </c>
    </row>
    <row r="26" spans="2:8" x14ac:dyDescent="0.35">
      <c r="E26" t="s">
        <v>435</v>
      </c>
      <c r="F26" t="s">
        <v>436</v>
      </c>
      <c r="G26" s="426">
        <v>35000000</v>
      </c>
    </row>
    <row r="27" spans="2:8" x14ac:dyDescent="0.35">
      <c r="E27" t="s">
        <v>437</v>
      </c>
      <c r="F27" t="s">
        <v>438</v>
      </c>
      <c r="G27" s="426">
        <v>306600000</v>
      </c>
    </row>
    <row r="28" spans="2:8" x14ac:dyDescent="0.35">
      <c r="E28" t="s">
        <v>439</v>
      </c>
      <c r="F28" t="s">
        <v>440</v>
      </c>
      <c r="G28" s="426">
        <v>1008000000</v>
      </c>
    </row>
    <row r="29" spans="2:8" x14ac:dyDescent="0.35">
      <c r="C29" s="428" t="s">
        <v>441</v>
      </c>
      <c r="D29" s="428"/>
      <c r="E29" s="428"/>
      <c r="F29" s="428"/>
      <c r="G29" s="429">
        <f>SUM(G9:G28)</f>
        <v>224570689546</v>
      </c>
      <c r="H29" s="424"/>
    </row>
    <row r="30" spans="2:8" x14ac:dyDescent="0.35">
      <c r="C30" t="s">
        <v>442</v>
      </c>
      <c r="D30" t="s">
        <v>443</v>
      </c>
      <c r="E30" t="s">
        <v>444</v>
      </c>
      <c r="F30" t="s">
        <v>445</v>
      </c>
      <c r="G30" s="426">
        <v>3000000000</v>
      </c>
    </row>
    <row r="31" spans="2:8" x14ac:dyDescent="0.35">
      <c r="C31" s="428" t="s">
        <v>446</v>
      </c>
      <c r="D31" s="428"/>
      <c r="E31" s="428"/>
      <c r="F31" s="428"/>
      <c r="G31" s="429">
        <v>3000000000</v>
      </c>
    </row>
    <row r="32" spans="2:8" ht="15" thickBot="1" x14ac:dyDescent="0.4">
      <c r="B32" s="431" t="s">
        <v>447</v>
      </c>
      <c r="C32" s="431"/>
      <c r="D32" s="431"/>
      <c r="E32" s="431"/>
      <c r="F32" s="431"/>
      <c r="G32" s="432">
        <f>+G29+G31</f>
        <v>227570689546</v>
      </c>
      <c r="H32" s="430"/>
    </row>
    <row r="33" spans="2:8" x14ac:dyDescent="0.35">
      <c r="B33" t="s">
        <v>448</v>
      </c>
      <c r="C33" t="s">
        <v>449</v>
      </c>
      <c r="D33" t="s">
        <v>450</v>
      </c>
      <c r="E33" t="s">
        <v>451</v>
      </c>
      <c r="F33" t="s">
        <v>452</v>
      </c>
      <c r="G33" s="425">
        <v>1087000000</v>
      </c>
      <c r="H33" s="430"/>
    </row>
    <row r="34" spans="2:8" x14ac:dyDescent="0.35">
      <c r="E34" t="s">
        <v>453</v>
      </c>
      <c r="F34" t="s">
        <v>454</v>
      </c>
      <c r="G34" s="426">
        <v>50000000</v>
      </c>
      <c r="H34" s="430"/>
    </row>
    <row r="35" spans="2:8" x14ac:dyDescent="0.35">
      <c r="E35" t="s">
        <v>914</v>
      </c>
      <c r="F35" t="s">
        <v>915</v>
      </c>
      <c r="G35" s="426">
        <v>10000000</v>
      </c>
      <c r="H35" s="430"/>
    </row>
    <row r="36" spans="2:8" x14ac:dyDescent="0.35">
      <c r="E36" t="s">
        <v>455</v>
      </c>
      <c r="F36" t="s">
        <v>456</v>
      </c>
      <c r="G36" s="426">
        <v>159000000</v>
      </c>
      <c r="H36" s="430"/>
    </row>
    <row r="37" spans="2:8" x14ac:dyDescent="0.35">
      <c r="E37" t="s">
        <v>457</v>
      </c>
      <c r="F37" t="s">
        <v>458</v>
      </c>
      <c r="G37" s="426">
        <v>1400000000</v>
      </c>
      <c r="H37" s="430"/>
    </row>
    <row r="38" spans="2:8" x14ac:dyDescent="0.35">
      <c r="E38" t="s">
        <v>459</v>
      </c>
      <c r="F38" t="s">
        <v>460</v>
      </c>
      <c r="G38" s="426">
        <v>400000000</v>
      </c>
      <c r="H38" s="430"/>
    </row>
    <row r="39" spans="2:8" x14ac:dyDescent="0.35">
      <c r="E39" t="s">
        <v>461</v>
      </c>
      <c r="F39" t="s">
        <v>462</v>
      </c>
      <c r="G39" s="426">
        <v>3392000000</v>
      </c>
      <c r="H39" s="430"/>
    </row>
    <row r="40" spans="2:8" x14ac:dyDescent="0.35">
      <c r="E40" t="s">
        <v>463</v>
      </c>
      <c r="F40" t="s">
        <v>464</v>
      </c>
      <c r="G40" s="426">
        <v>15000000</v>
      </c>
      <c r="H40" s="430"/>
    </row>
    <row r="41" spans="2:8" x14ac:dyDescent="0.35">
      <c r="E41" t="s">
        <v>465</v>
      </c>
      <c r="F41" t="s">
        <v>466</v>
      </c>
      <c r="G41" s="426">
        <v>1300000000</v>
      </c>
      <c r="H41" s="430"/>
    </row>
    <row r="42" spans="2:8" x14ac:dyDescent="0.35">
      <c r="E42" t="s">
        <v>467</v>
      </c>
      <c r="F42" t="s">
        <v>468</v>
      </c>
      <c r="G42" s="426">
        <v>1400000000</v>
      </c>
      <c r="H42" s="430"/>
    </row>
    <row r="43" spans="2:8" x14ac:dyDescent="0.35">
      <c r="E43" t="s">
        <v>469</v>
      </c>
      <c r="F43" t="s">
        <v>470</v>
      </c>
      <c r="G43" s="426">
        <v>25000000</v>
      </c>
      <c r="H43" s="430"/>
    </row>
    <row r="44" spans="2:8" x14ac:dyDescent="0.35">
      <c r="C44" s="428" t="s">
        <v>471</v>
      </c>
      <c r="D44" s="428"/>
      <c r="E44" s="428"/>
      <c r="F44" s="428"/>
      <c r="G44" s="438">
        <f>SUM(G33:G43)</f>
        <v>9238000000</v>
      </c>
      <c r="H44" s="436"/>
    </row>
    <row r="45" spans="2:8" x14ac:dyDescent="0.35">
      <c r="C45" t="s">
        <v>472</v>
      </c>
      <c r="D45" t="s">
        <v>473</v>
      </c>
      <c r="E45" t="s">
        <v>474</v>
      </c>
      <c r="F45" t="s">
        <v>475</v>
      </c>
      <c r="G45" s="426">
        <v>180000000</v>
      </c>
      <c r="H45" s="430"/>
    </row>
    <row r="46" spans="2:8" x14ac:dyDescent="0.35">
      <c r="C46" s="428" t="s">
        <v>476</v>
      </c>
      <c r="D46" s="428"/>
      <c r="E46" s="428"/>
      <c r="F46" s="428"/>
      <c r="G46" s="438">
        <v>180000000</v>
      </c>
      <c r="H46" s="436"/>
    </row>
    <row r="47" spans="2:8" x14ac:dyDescent="0.35">
      <c r="C47" t="s">
        <v>477</v>
      </c>
      <c r="D47" t="s">
        <v>478</v>
      </c>
      <c r="E47" t="s">
        <v>479</v>
      </c>
      <c r="F47" t="s">
        <v>480</v>
      </c>
      <c r="G47" s="426">
        <v>800000</v>
      </c>
      <c r="H47" s="430"/>
    </row>
    <row r="48" spans="2:8" x14ac:dyDescent="0.35">
      <c r="C48" s="428" t="s">
        <v>481</v>
      </c>
      <c r="D48" s="428"/>
      <c r="E48" s="428"/>
      <c r="F48" s="428"/>
      <c r="G48" s="438">
        <v>800000</v>
      </c>
      <c r="H48" s="430"/>
    </row>
    <row r="49" spans="2:9" x14ac:dyDescent="0.35">
      <c r="C49" t="s">
        <v>482</v>
      </c>
      <c r="D49" t="s">
        <v>483</v>
      </c>
      <c r="E49" t="s">
        <v>484</v>
      </c>
      <c r="F49" t="s">
        <v>485</v>
      </c>
      <c r="G49" s="426">
        <v>60000000</v>
      </c>
      <c r="H49" s="430"/>
    </row>
    <row r="50" spans="2:9" x14ac:dyDescent="0.35">
      <c r="C50" s="428" t="s">
        <v>486</v>
      </c>
      <c r="D50" s="428"/>
      <c r="E50" s="428"/>
      <c r="F50" s="428"/>
      <c r="G50" s="438">
        <v>60000000</v>
      </c>
      <c r="H50" s="430"/>
    </row>
    <row r="51" spans="2:9" x14ac:dyDescent="0.35">
      <c r="C51" t="s">
        <v>487</v>
      </c>
      <c r="D51" t="s">
        <v>443</v>
      </c>
      <c r="E51" t="s">
        <v>488</v>
      </c>
      <c r="F51" t="s">
        <v>489</v>
      </c>
      <c r="G51" s="426">
        <v>75000000</v>
      </c>
      <c r="H51" s="430"/>
    </row>
    <row r="52" spans="2:9" x14ac:dyDescent="0.35">
      <c r="C52" s="428" t="s">
        <v>490</v>
      </c>
      <c r="D52" s="428"/>
      <c r="E52" s="428"/>
      <c r="F52" s="428"/>
      <c r="G52" s="438">
        <v>75000000</v>
      </c>
      <c r="H52" s="430"/>
    </row>
    <row r="53" spans="2:9" x14ac:dyDescent="0.35">
      <c r="B53" s="431" t="s">
        <v>491</v>
      </c>
      <c r="C53" s="431"/>
      <c r="D53" s="431"/>
      <c r="E53" s="431"/>
      <c r="F53" s="431"/>
      <c r="G53" s="432">
        <f>+G44+G46+G48+G50+G52</f>
        <v>9553800000</v>
      </c>
      <c r="H53" s="430"/>
    </row>
    <row r="54" spans="2:9" x14ac:dyDescent="0.35">
      <c r="B54" s="437" t="s">
        <v>492</v>
      </c>
      <c r="C54" s="437"/>
      <c r="D54" s="437"/>
      <c r="E54" s="437"/>
      <c r="F54" s="437"/>
      <c r="G54" s="439">
        <f>+G53+G32</f>
        <v>237124489546</v>
      </c>
      <c r="H54" s="430"/>
    </row>
    <row r="55" spans="2:9" x14ac:dyDescent="0.35">
      <c r="B55" t="s">
        <v>493</v>
      </c>
      <c r="C55" t="s">
        <v>494</v>
      </c>
      <c r="D55" t="s">
        <v>495</v>
      </c>
      <c r="E55" t="s">
        <v>496</v>
      </c>
      <c r="F55" t="s">
        <v>497</v>
      </c>
      <c r="G55" s="426">
        <v>41673926243</v>
      </c>
      <c r="H55" s="430"/>
    </row>
    <row r="56" spans="2:9" x14ac:dyDescent="0.35">
      <c r="E56" t="s">
        <v>498</v>
      </c>
      <c r="F56" t="s">
        <v>499</v>
      </c>
      <c r="G56" s="426">
        <v>13180143000</v>
      </c>
      <c r="H56" s="430"/>
    </row>
    <row r="57" spans="2:9" x14ac:dyDescent="0.35">
      <c r="E57" t="s">
        <v>500</v>
      </c>
      <c r="F57" t="s">
        <v>0</v>
      </c>
      <c r="G57" s="426">
        <v>2168156602</v>
      </c>
      <c r="H57" s="430"/>
    </row>
    <row r="58" spans="2:9" x14ac:dyDescent="0.35">
      <c r="E58" t="s">
        <v>501</v>
      </c>
      <c r="F58" t="s">
        <v>502</v>
      </c>
      <c r="G58" s="426">
        <v>2828481398</v>
      </c>
    </row>
    <row r="59" spans="2:9" x14ac:dyDescent="0.35">
      <c r="E59" t="s">
        <v>503</v>
      </c>
      <c r="F59" t="s">
        <v>504</v>
      </c>
      <c r="G59" s="426">
        <v>32183638</v>
      </c>
    </row>
    <row r="60" spans="2:9" x14ac:dyDescent="0.35">
      <c r="E60" t="s">
        <v>505</v>
      </c>
      <c r="F60" t="s">
        <v>506</v>
      </c>
      <c r="G60" s="426">
        <v>537300000</v>
      </c>
      <c r="I60" s="424"/>
    </row>
    <row r="61" spans="2:9" x14ac:dyDescent="0.35">
      <c r="E61" t="s">
        <v>507</v>
      </c>
      <c r="F61" t="s">
        <v>508</v>
      </c>
      <c r="G61" s="426">
        <v>15000000</v>
      </c>
    </row>
    <row r="62" spans="2:9" x14ac:dyDescent="0.35">
      <c r="E62" t="s">
        <v>509</v>
      </c>
      <c r="F62" t="s">
        <v>510</v>
      </c>
      <c r="G62" s="426">
        <v>11000000</v>
      </c>
    </row>
    <row r="63" spans="2:9" x14ac:dyDescent="0.35">
      <c r="E63" t="s">
        <v>511</v>
      </c>
      <c r="F63" t="s">
        <v>512</v>
      </c>
      <c r="G63" s="426">
        <v>7700000</v>
      </c>
    </row>
    <row r="64" spans="2:9" x14ac:dyDescent="0.35">
      <c r="E64" t="s">
        <v>513</v>
      </c>
      <c r="F64" t="s">
        <v>514</v>
      </c>
      <c r="G64" s="426">
        <v>1872578492</v>
      </c>
    </row>
    <row r="65" spans="3:8" x14ac:dyDescent="0.35">
      <c r="E65" t="s">
        <v>515</v>
      </c>
      <c r="F65" t="s">
        <v>516</v>
      </c>
      <c r="G65" s="426">
        <v>169077000</v>
      </c>
    </row>
    <row r="66" spans="3:8" x14ac:dyDescent="0.35">
      <c r="E66" t="s">
        <v>517</v>
      </c>
      <c r="F66" t="s">
        <v>518</v>
      </c>
      <c r="G66" s="426">
        <v>360800000</v>
      </c>
    </row>
    <row r="67" spans="3:8" x14ac:dyDescent="0.35">
      <c r="E67" t="s">
        <v>519</v>
      </c>
      <c r="F67" t="s">
        <v>520</v>
      </c>
      <c r="G67" s="426">
        <v>420760430</v>
      </c>
    </row>
    <row r="68" spans="3:8" x14ac:dyDescent="0.35">
      <c r="E68" t="s">
        <v>521</v>
      </c>
      <c r="F68" t="s">
        <v>522</v>
      </c>
      <c r="G68" s="426">
        <v>20140000</v>
      </c>
    </row>
    <row r="69" spans="3:8" x14ac:dyDescent="0.35">
      <c r="E69" t="s">
        <v>523</v>
      </c>
      <c r="F69" t="s">
        <v>524</v>
      </c>
      <c r="G69" s="426">
        <v>49535100</v>
      </c>
    </row>
    <row r="70" spans="3:8" x14ac:dyDescent="0.35">
      <c r="E70" t="s">
        <v>525</v>
      </c>
      <c r="F70" t="s">
        <v>526</v>
      </c>
      <c r="G70" s="426">
        <v>67166683000</v>
      </c>
    </row>
    <row r="71" spans="3:8" x14ac:dyDescent="0.35">
      <c r="E71" t="s">
        <v>527</v>
      </c>
      <c r="F71" t="s">
        <v>528</v>
      </c>
      <c r="G71" s="426">
        <v>459400000</v>
      </c>
    </row>
    <row r="72" spans="3:8" x14ac:dyDescent="0.35">
      <c r="E72" t="s">
        <v>529</v>
      </c>
      <c r="F72" t="s">
        <v>530</v>
      </c>
      <c r="G72" s="426">
        <v>450537250</v>
      </c>
    </row>
    <row r="73" spans="3:8" x14ac:dyDescent="0.35">
      <c r="E73" t="s">
        <v>531</v>
      </c>
      <c r="F73" t="s">
        <v>532</v>
      </c>
      <c r="G73" s="426">
        <v>5237928514</v>
      </c>
    </row>
    <row r="74" spans="3:8" x14ac:dyDescent="0.35">
      <c r="C74" s="428" t="s">
        <v>533</v>
      </c>
      <c r="D74" s="428"/>
      <c r="E74" s="428"/>
      <c r="F74" s="428"/>
      <c r="G74" s="429">
        <f>SUM(G55:G73)</f>
        <v>136661330667</v>
      </c>
      <c r="H74" s="424"/>
    </row>
    <row r="75" spans="3:8" x14ac:dyDescent="0.35">
      <c r="C75" t="s">
        <v>534</v>
      </c>
      <c r="D75" t="s">
        <v>535</v>
      </c>
      <c r="E75" t="s">
        <v>536</v>
      </c>
      <c r="F75" t="s">
        <v>537</v>
      </c>
      <c r="G75" s="426">
        <v>181109000</v>
      </c>
    </row>
    <row r="76" spans="3:8" x14ac:dyDescent="0.35">
      <c r="E76" t="s">
        <v>538</v>
      </c>
      <c r="F76" t="s">
        <v>539</v>
      </c>
      <c r="G76" s="426">
        <v>8192000</v>
      </c>
    </row>
    <row r="77" spans="3:8" x14ac:dyDescent="0.35">
      <c r="E77" t="s">
        <v>540</v>
      </c>
      <c r="F77" t="s">
        <v>541</v>
      </c>
      <c r="G77" s="426">
        <v>89726000</v>
      </c>
    </row>
    <row r="78" spans="3:8" x14ac:dyDescent="0.35">
      <c r="E78" t="s">
        <v>542</v>
      </c>
      <c r="F78" t="s">
        <v>543</v>
      </c>
      <c r="G78" s="426">
        <v>52690800</v>
      </c>
    </row>
    <row r="79" spans="3:8" x14ac:dyDescent="0.35">
      <c r="E79" t="s">
        <v>544</v>
      </c>
      <c r="F79" t="s">
        <v>545</v>
      </c>
      <c r="G79" s="426">
        <v>1733417630</v>
      </c>
    </row>
    <row r="80" spans="3:8" x14ac:dyDescent="0.35">
      <c r="E80" t="s">
        <v>546</v>
      </c>
      <c r="F80" t="s">
        <v>547</v>
      </c>
      <c r="G80" s="426">
        <v>108050000</v>
      </c>
    </row>
    <row r="81" spans="5:7" x14ac:dyDescent="0.35">
      <c r="E81" t="s">
        <v>548</v>
      </c>
      <c r="F81" t="s">
        <v>549</v>
      </c>
      <c r="G81" s="426">
        <v>555592740</v>
      </c>
    </row>
    <row r="82" spans="5:7" x14ac:dyDescent="0.35">
      <c r="E82" t="s">
        <v>550</v>
      </c>
      <c r="F82" t="s">
        <v>551</v>
      </c>
      <c r="G82" s="426">
        <v>295000000</v>
      </c>
    </row>
    <row r="83" spans="5:7" x14ac:dyDescent="0.35">
      <c r="E83" t="s">
        <v>552</v>
      </c>
      <c r="F83" t="s">
        <v>553</v>
      </c>
      <c r="G83" s="426">
        <v>2036680000</v>
      </c>
    </row>
    <row r="84" spans="5:7" x14ac:dyDescent="0.35">
      <c r="E84" t="s">
        <v>554</v>
      </c>
      <c r="F84" t="s">
        <v>555</v>
      </c>
      <c r="G84" s="426">
        <v>2471451612</v>
      </c>
    </row>
    <row r="85" spans="5:7" x14ac:dyDescent="0.35">
      <c r="E85" t="s">
        <v>556</v>
      </c>
      <c r="F85" t="s">
        <v>557</v>
      </c>
      <c r="G85" s="426">
        <v>108409596</v>
      </c>
    </row>
    <row r="86" spans="5:7" x14ac:dyDescent="0.35">
      <c r="E86" t="s">
        <v>558</v>
      </c>
      <c r="F86" t="s">
        <v>559</v>
      </c>
      <c r="G86" s="426">
        <v>516112350</v>
      </c>
    </row>
    <row r="87" spans="5:7" x14ac:dyDescent="0.35">
      <c r="E87" t="s">
        <v>560</v>
      </c>
      <c r="F87" t="s">
        <v>561</v>
      </c>
      <c r="G87" s="426">
        <v>964816525</v>
      </c>
    </row>
    <row r="88" spans="5:7" x14ac:dyDescent="0.35">
      <c r="E88" t="s">
        <v>562</v>
      </c>
      <c r="F88" t="s">
        <v>563</v>
      </c>
      <c r="G88" s="426">
        <v>78508475</v>
      </c>
    </row>
    <row r="89" spans="5:7" x14ac:dyDescent="0.35">
      <c r="E89" t="s">
        <v>564</v>
      </c>
      <c r="F89" t="s">
        <v>565</v>
      </c>
      <c r="G89" s="426">
        <v>3579837000</v>
      </c>
    </row>
    <row r="90" spans="5:7" x14ac:dyDescent="0.35">
      <c r="E90" t="s">
        <v>566</v>
      </c>
      <c r="F90" t="s">
        <v>567</v>
      </c>
      <c r="G90" s="426">
        <v>1129941500</v>
      </c>
    </row>
    <row r="91" spans="5:7" x14ac:dyDescent="0.35">
      <c r="E91" t="s">
        <v>568</v>
      </c>
      <c r="F91" t="s">
        <v>569</v>
      </c>
      <c r="G91" s="426">
        <v>251189270</v>
      </c>
    </row>
    <row r="92" spans="5:7" x14ac:dyDescent="0.35">
      <c r="E92" t="s">
        <v>570</v>
      </c>
      <c r="F92" t="s">
        <v>571</v>
      </c>
      <c r="G92" s="426">
        <v>165470175</v>
      </c>
    </row>
    <row r="93" spans="5:7" x14ac:dyDescent="0.35">
      <c r="E93" t="s">
        <v>572</v>
      </c>
      <c r="F93" t="s">
        <v>573</v>
      </c>
      <c r="G93" s="426">
        <v>1047380000</v>
      </c>
    </row>
    <row r="94" spans="5:7" x14ac:dyDescent="0.35">
      <c r="E94" t="s">
        <v>574</v>
      </c>
      <c r="F94" t="s">
        <v>575</v>
      </c>
      <c r="G94" s="426">
        <v>657000</v>
      </c>
    </row>
    <row r="95" spans="5:7" x14ac:dyDescent="0.35">
      <c r="E95" t="s">
        <v>576</v>
      </c>
      <c r="F95" t="s">
        <v>577</v>
      </c>
      <c r="G95" s="426">
        <v>7000000</v>
      </c>
    </row>
    <row r="96" spans="5:7" x14ac:dyDescent="0.35">
      <c r="E96" t="s">
        <v>578</v>
      </c>
      <c r="F96" t="s">
        <v>579</v>
      </c>
      <c r="G96" s="426">
        <v>1347500</v>
      </c>
    </row>
    <row r="97" spans="3:7" x14ac:dyDescent="0.35">
      <c r="E97" t="s">
        <v>580</v>
      </c>
      <c r="F97" t="s">
        <v>581</v>
      </c>
      <c r="G97" s="426">
        <v>4667655</v>
      </c>
    </row>
    <row r="98" spans="3:7" x14ac:dyDescent="0.35">
      <c r="E98" t="s">
        <v>582</v>
      </c>
      <c r="F98" t="s">
        <v>583</v>
      </c>
      <c r="G98" s="426">
        <v>27369500</v>
      </c>
    </row>
    <row r="99" spans="3:7" x14ac:dyDescent="0.35">
      <c r="E99" t="s">
        <v>584</v>
      </c>
      <c r="F99" t="s">
        <v>585</v>
      </c>
      <c r="G99" s="426">
        <v>34899096</v>
      </c>
    </row>
    <row r="100" spans="3:7" x14ac:dyDescent="0.35">
      <c r="E100" t="s">
        <v>586</v>
      </c>
      <c r="F100" t="s">
        <v>587</v>
      </c>
      <c r="G100" s="426">
        <v>93123075</v>
      </c>
    </row>
    <row r="101" spans="3:7" x14ac:dyDescent="0.35">
      <c r="E101" t="s">
        <v>588</v>
      </c>
      <c r="F101" t="s">
        <v>589</v>
      </c>
      <c r="G101" s="426">
        <v>132350000</v>
      </c>
    </row>
    <row r="102" spans="3:7" x14ac:dyDescent="0.35">
      <c r="E102" t="s">
        <v>590</v>
      </c>
      <c r="F102" t="s">
        <v>591</v>
      </c>
      <c r="G102" s="426">
        <v>4471000</v>
      </c>
    </row>
    <row r="103" spans="3:7" x14ac:dyDescent="0.35">
      <c r="E103" t="s">
        <v>592</v>
      </c>
      <c r="F103" t="s">
        <v>593</v>
      </c>
      <c r="G103" s="426">
        <v>436796430</v>
      </c>
    </row>
    <row r="104" spans="3:7" x14ac:dyDescent="0.35">
      <c r="E104" t="s">
        <v>594</v>
      </c>
      <c r="F104" t="s">
        <v>595</v>
      </c>
      <c r="G104" s="426">
        <v>221041229</v>
      </c>
    </row>
    <row r="105" spans="3:7" x14ac:dyDescent="0.35">
      <c r="C105" s="428" t="s">
        <v>596</v>
      </c>
      <c r="D105" s="428"/>
      <c r="E105" s="428"/>
      <c r="F105" s="428"/>
      <c r="G105" s="429">
        <f>SUM(G75:G104)</f>
        <v>16337297158</v>
      </c>
    </row>
    <row r="106" spans="3:7" x14ac:dyDescent="0.35">
      <c r="C106" t="s">
        <v>597</v>
      </c>
      <c r="D106" t="s">
        <v>598</v>
      </c>
      <c r="E106" t="s">
        <v>599</v>
      </c>
      <c r="F106" t="s">
        <v>600</v>
      </c>
      <c r="G106" s="426">
        <v>671132348</v>
      </c>
    </row>
    <row r="107" spans="3:7" x14ac:dyDescent="0.35">
      <c r="E107" t="s">
        <v>601</v>
      </c>
      <c r="F107" t="s">
        <v>602</v>
      </c>
      <c r="G107" s="426">
        <v>1348294000</v>
      </c>
    </row>
    <row r="108" spans="3:7" x14ac:dyDescent="0.35">
      <c r="E108" t="s">
        <v>603</v>
      </c>
      <c r="F108" t="s">
        <v>604</v>
      </c>
      <c r="G108" s="426">
        <v>1000000</v>
      </c>
    </row>
    <row r="109" spans="3:7" x14ac:dyDescent="0.35">
      <c r="E109" t="s">
        <v>605</v>
      </c>
      <c r="F109" t="s">
        <v>606</v>
      </c>
      <c r="G109" s="426">
        <v>9918774</v>
      </c>
    </row>
    <row r="110" spans="3:7" x14ac:dyDescent="0.35">
      <c r="E110" t="s">
        <v>607</v>
      </c>
      <c r="F110" t="s">
        <v>608</v>
      </c>
      <c r="G110" s="426">
        <v>900280000</v>
      </c>
    </row>
    <row r="111" spans="3:7" x14ac:dyDescent="0.35">
      <c r="E111" t="s">
        <v>609</v>
      </c>
      <c r="F111" t="s">
        <v>610</v>
      </c>
      <c r="G111" s="426">
        <v>149625000</v>
      </c>
    </row>
    <row r="112" spans="3:7" x14ac:dyDescent="0.35">
      <c r="C112" s="428" t="s">
        <v>611</v>
      </c>
      <c r="D112" s="428"/>
      <c r="E112" s="428"/>
      <c r="F112" s="428"/>
      <c r="G112" s="429">
        <v>3080250122</v>
      </c>
    </row>
    <row r="113" spans="3:7" x14ac:dyDescent="0.35">
      <c r="C113" t="s">
        <v>612</v>
      </c>
      <c r="D113" t="s">
        <v>473</v>
      </c>
      <c r="E113" t="s">
        <v>613</v>
      </c>
      <c r="F113" t="s">
        <v>614</v>
      </c>
      <c r="G113" s="426">
        <v>269137620</v>
      </c>
    </row>
    <row r="114" spans="3:7" x14ac:dyDescent="0.35">
      <c r="E114" t="s">
        <v>615</v>
      </c>
      <c r="F114" t="s">
        <v>17</v>
      </c>
      <c r="G114" s="426">
        <v>148481795</v>
      </c>
    </row>
    <row r="115" spans="3:7" x14ac:dyDescent="0.35">
      <c r="E115" t="s">
        <v>616</v>
      </c>
      <c r="F115" t="s">
        <v>18</v>
      </c>
      <c r="G115" s="426">
        <v>67858615</v>
      </c>
    </row>
    <row r="116" spans="3:7" x14ac:dyDescent="0.35">
      <c r="E116" t="s">
        <v>617</v>
      </c>
      <c r="F116" t="s">
        <v>618</v>
      </c>
      <c r="G116" s="426">
        <v>111480000</v>
      </c>
    </row>
    <row r="117" spans="3:7" x14ac:dyDescent="0.35">
      <c r="E117" t="s">
        <v>619</v>
      </c>
      <c r="F117" t="s">
        <v>620</v>
      </c>
      <c r="G117" s="426">
        <v>8374320</v>
      </c>
    </row>
    <row r="118" spans="3:7" x14ac:dyDescent="0.35">
      <c r="E118" t="s">
        <v>621</v>
      </c>
      <c r="F118" t="s">
        <v>622</v>
      </c>
      <c r="G118" s="426">
        <v>2190000</v>
      </c>
    </row>
    <row r="119" spans="3:7" x14ac:dyDescent="0.35">
      <c r="C119" s="428" t="s">
        <v>623</v>
      </c>
      <c r="D119" s="428"/>
      <c r="E119" s="428"/>
      <c r="F119" s="428"/>
      <c r="G119" s="429">
        <v>607522350</v>
      </c>
    </row>
    <row r="120" spans="3:7" x14ac:dyDescent="0.35">
      <c r="C120" t="s">
        <v>624</v>
      </c>
      <c r="D120" t="s">
        <v>625</v>
      </c>
      <c r="E120" t="s">
        <v>626</v>
      </c>
      <c r="F120" t="s">
        <v>627</v>
      </c>
      <c r="G120" s="426">
        <v>94950000</v>
      </c>
    </row>
    <row r="121" spans="3:7" x14ac:dyDescent="0.35">
      <c r="E121" t="s">
        <v>628</v>
      </c>
      <c r="F121" t="s">
        <v>629</v>
      </c>
      <c r="G121" s="426">
        <v>1754000000</v>
      </c>
    </row>
    <row r="122" spans="3:7" x14ac:dyDescent="0.35">
      <c r="E122" t="s">
        <v>630</v>
      </c>
      <c r="F122" t="s">
        <v>631</v>
      </c>
      <c r="G122" s="426">
        <v>1696118285</v>
      </c>
    </row>
    <row r="123" spans="3:7" x14ac:dyDescent="0.35">
      <c r="C123" s="428" t="s">
        <v>632</v>
      </c>
      <c r="D123" s="428"/>
      <c r="E123" s="428"/>
      <c r="F123" s="428"/>
      <c r="G123" s="429">
        <v>3545068285</v>
      </c>
    </row>
    <row r="124" spans="3:7" x14ac:dyDescent="0.35">
      <c r="C124" t="s">
        <v>633</v>
      </c>
      <c r="D124" t="s">
        <v>634</v>
      </c>
      <c r="E124" t="s">
        <v>635</v>
      </c>
      <c r="F124" t="s">
        <v>636</v>
      </c>
      <c r="G124" s="426">
        <v>29532700</v>
      </c>
    </row>
    <row r="125" spans="3:7" x14ac:dyDescent="0.35">
      <c r="E125" t="s">
        <v>637</v>
      </c>
      <c r="F125" t="s">
        <v>638</v>
      </c>
      <c r="G125" s="426">
        <v>100000000</v>
      </c>
    </row>
    <row r="126" spans="3:7" x14ac:dyDescent="0.35">
      <c r="E126" t="s">
        <v>916</v>
      </c>
      <c r="F126" t="s">
        <v>917</v>
      </c>
      <c r="G126" s="426">
        <v>0</v>
      </c>
    </row>
    <row r="127" spans="3:7" x14ac:dyDescent="0.35">
      <c r="E127" t="s">
        <v>639</v>
      </c>
      <c r="F127" t="s">
        <v>640</v>
      </c>
      <c r="G127" s="426">
        <v>8000000</v>
      </c>
    </row>
    <row r="128" spans="3:7" x14ac:dyDescent="0.35">
      <c r="E128" t="s">
        <v>641</v>
      </c>
      <c r="F128" t="s">
        <v>642</v>
      </c>
      <c r="G128" s="426">
        <v>128385000</v>
      </c>
    </row>
    <row r="129" spans="3:7" x14ac:dyDescent="0.35">
      <c r="E129" t="s">
        <v>643</v>
      </c>
      <c r="F129" t="s">
        <v>644</v>
      </c>
      <c r="G129" s="426">
        <v>1100000</v>
      </c>
    </row>
    <row r="130" spans="3:7" x14ac:dyDescent="0.35">
      <c r="E130" t="s">
        <v>645</v>
      </c>
      <c r="F130" t="s">
        <v>646</v>
      </c>
      <c r="G130" s="426">
        <v>1936754</v>
      </c>
    </row>
    <row r="131" spans="3:7" x14ac:dyDescent="0.35">
      <c r="E131" t="s">
        <v>647</v>
      </c>
      <c r="F131" t="s">
        <v>648</v>
      </c>
      <c r="G131" s="426">
        <v>2000000</v>
      </c>
    </row>
    <row r="132" spans="3:7" x14ac:dyDescent="0.35">
      <c r="E132" t="s">
        <v>649</v>
      </c>
      <c r="F132" t="s">
        <v>650</v>
      </c>
      <c r="G132" s="426">
        <v>16300000</v>
      </c>
    </row>
    <row r="133" spans="3:7" x14ac:dyDescent="0.35">
      <c r="E133" t="s">
        <v>651</v>
      </c>
      <c r="F133" t="s">
        <v>652</v>
      </c>
      <c r="G133" s="426">
        <v>401000000</v>
      </c>
    </row>
    <row r="134" spans="3:7" x14ac:dyDescent="0.35">
      <c r="E134" t="s">
        <v>653</v>
      </c>
      <c r="F134" t="s">
        <v>654</v>
      </c>
      <c r="G134" s="426">
        <v>372906000</v>
      </c>
    </row>
    <row r="135" spans="3:7" x14ac:dyDescent="0.35">
      <c r="E135" t="s">
        <v>655</v>
      </c>
      <c r="F135" t="s">
        <v>656</v>
      </c>
      <c r="G135" s="426">
        <v>563089489</v>
      </c>
    </row>
    <row r="136" spans="3:7" x14ac:dyDescent="0.35">
      <c r="C136" s="428" t="s">
        <v>657</v>
      </c>
      <c r="D136" s="428"/>
      <c r="E136" s="428"/>
      <c r="F136" s="428"/>
      <c r="G136" s="429">
        <v>1624249943</v>
      </c>
    </row>
    <row r="137" spans="3:7" x14ac:dyDescent="0.35">
      <c r="C137" t="s">
        <v>658</v>
      </c>
      <c r="D137" t="s">
        <v>659</v>
      </c>
      <c r="E137" t="s">
        <v>660</v>
      </c>
      <c r="F137" t="s">
        <v>661</v>
      </c>
      <c r="G137" s="426">
        <v>166276627</v>
      </c>
    </row>
    <row r="138" spans="3:7" x14ac:dyDescent="0.35">
      <c r="E138" t="s">
        <v>662</v>
      </c>
      <c r="F138" t="s">
        <v>663</v>
      </c>
      <c r="G138" s="426">
        <v>1613631714</v>
      </c>
    </row>
    <row r="139" spans="3:7" x14ac:dyDescent="0.35">
      <c r="E139" t="s">
        <v>664</v>
      </c>
      <c r="F139" t="s">
        <v>665</v>
      </c>
      <c r="G139" s="426">
        <v>3524828492</v>
      </c>
    </row>
    <row r="140" spans="3:7" x14ac:dyDescent="0.35">
      <c r="E140" t="s">
        <v>666</v>
      </c>
      <c r="F140" t="s">
        <v>667</v>
      </c>
      <c r="G140" s="426">
        <v>188374480</v>
      </c>
    </row>
    <row r="141" spans="3:7" x14ac:dyDescent="0.35">
      <c r="E141" t="s">
        <v>668</v>
      </c>
      <c r="F141" t="s">
        <v>669</v>
      </c>
      <c r="G141" s="426">
        <v>300000</v>
      </c>
    </row>
    <row r="142" spans="3:7" x14ac:dyDescent="0.35">
      <c r="E142" t="s">
        <v>670</v>
      </c>
      <c r="F142" t="s">
        <v>671</v>
      </c>
      <c r="G142" s="426">
        <v>113271840</v>
      </c>
    </row>
    <row r="143" spans="3:7" x14ac:dyDescent="0.35">
      <c r="E143" t="s">
        <v>672</v>
      </c>
      <c r="F143" t="s">
        <v>673</v>
      </c>
      <c r="G143" s="426">
        <v>3845276000</v>
      </c>
    </row>
    <row r="144" spans="3:7" x14ac:dyDescent="0.35">
      <c r="E144" t="s">
        <v>674</v>
      </c>
      <c r="F144" t="s">
        <v>675</v>
      </c>
      <c r="G144" s="426">
        <v>212580403</v>
      </c>
    </row>
    <row r="145" spans="5:7" x14ac:dyDescent="0.35">
      <c r="E145" t="s">
        <v>676</v>
      </c>
      <c r="F145" t="s">
        <v>677</v>
      </c>
      <c r="G145" s="426">
        <v>66634018</v>
      </c>
    </row>
    <row r="146" spans="5:7" x14ac:dyDescent="0.35">
      <c r="E146" t="s">
        <v>678</v>
      </c>
      <c r="F146" t="s">
        <v>679</v>
      </c>
      <c r="G146" s="426">
        <v>57463433</v>
      </c>
    </row>
    <row r="147" spans="5:7" x14ac:dyDescent="0.35">
      <c r="E147" t="s">
        <v>680</v>
      </c>
      <c r="F147" t="s">
        <v>681</v>
      </c>
      <c r="G147" s="426">
        <v>24594418</v>
      </c>
    </row>
    <row r="148" spans="5:7" x14ac:dyDescent="0.35">
      <c r="E148" t="s">
        <v>682</v>
      </c>
      <c r="F148" t="s">
        <v>683</v>
      </c>
      <c r="G148" s="426">
        <v>340190535</v>
      </c>
    </row>
    <row r="149" spans="5:7" x14ac:dyDescent="0.35">
      <c r="E149" t="s">
        <v>684</v>
      </c>
      <c r="F149" t="s">
        <v>685</v>
      </c>
      <c r="G149" s="426">
        <v>369765000</v>
      </c>
    </row>
    <row r="150" spans="5:7" x14ac:dyDescent="0.35">
      <c r="E150" t="s">
        <v>686</v>
      </c>
      <c r="F150" t="s">
        <v>687</v>
      </c>
      <c r="G150" s="426">
        <v>308853775</v>
      </c>
    </row>
    <row r="151" spans="5:7" x14ac:dyDescent="0.35">
      <c r="E151" t="s">
        <v>688</v>
      </c>
      <c r="F151" t="s">
        <v>689</v>
      </c>
      <c r="G151" s="426">
        <v>176000000</v>
      </c>
    </row>
    <row r="152" spans="5:7" x14ac:dyDescent="0.35">
      <c r="E152" t="s">
        <v>690</v>
      </c>
      <c r="F152" t="s">
        <v>691</v>
      </c>
      <c r="G152" s="426">
        <v>1942052000</v>
      </c>
    </row>
    <row r="153" spans="5:7" x14ac:dyDescent="0.35">
      <c r="E153" t="s">
        <v>692</v>
      </c>
      <c r="F153" t="s">
        <v>693</v>
      </c>
      <c r="G153" s="426">
        <v>98700000</v>
      </c>
    </row>
    <row r="154" spans="5:7" x14ac:dyDescent="0.35">
      <c r="E154" t="s">
        <v>694</v>
      </c>
      <c r="F154" t="s">
        <v>695</v>
      </c>
      <c r="G154" s="426">
        <v>2301360</v>
      </c>
    </row>
    <row r="155" spans="5:7" x14ac:dyDescent="0.35">
      <c r="E155" t="s">
        <v>696</v>
      </c>
      <c r="F155" t="s">
        <v>697</v>
      </c>
      <c r="G155" s="426">
        <v>71407000</v>
      </c>
    </row>
    <row r="156" spans="5:7" x14ac:dyDescent="0.35">
      <c r="E156" t="s">
        <v>698</v>
      </c>
      <c r="F156" t="s">
        <v>699</v>
      </c>
      <c r="G156" s="426">
        <v>61842325</v>
      </c>
    </row>
    <row r="157" spans="5:7" x14ac:dyDescent="0.35">
      <c r="E157" t="s">
        <v>700</v>
      </c>
      <c r="F157" t="s">
        <v>701</v>
      </c>
      <c r="G157" s="426">
        <v>225325040</v>
      </c>
    </row>
    <row r="158" spans="5:7" x14ac:dyDescent="0.35">
      <c r="E158" t="s">
        <v>702</v>
      </c>
      <c r="F158" t="s">
        <v>703</v>
      </c>
      <c r="G158" s="426">
        <v>3500000</v>
      </c>
    </row>
    <row r="159" spans="5:7" x14ac:dyDescent="0.35">
      <c r="E159" t="s">
        <v>704</v>
      </c>
      <c r="F159" t="s">
        <v>705</v>
      </c>
      <c r="G159" s="426">
        <v>40140000</v>
      </c>
    </row>
    <row r="160" spans="5:7" x14ac:dyDescent="0.35">
      <c r="E160" t="s">
        <v>706</v>
      </c>
      <c r="F160" t="s">
        <v>707</v>
      </c>
      <c r="G160" s="426">
        <v>3000000</v>
      </c>
    </row>
    <row r="161" spans="3:7" x14ac:dyDescent="0.35">
      <c r="E161" t="s">
        <v>708</v>
      </c>
      <c r="F161" t="s">
        <v>709</v>
      </c>
      <c r="G161" s="426">
        <v>1000000</v>
      </c>
    </row>
    <row r="162" spans="3:7" x14ac:dyDescent="0.35">
      <c r="E162" t="s">
        <v>710</v>
      </c>
      <c r="F162" t="s">
        <v>711</v>
      </c>
      <c r="G162" s="426">
        <v>4412575</v>
      </c>
    </row>
    <row r="163" spans="3:7" x14ac:dyDescent="0.35">
      <c r="E163" t="s">
        <v>712</v>
      </c>
      <c r="F163" t="s">
        <v>713</v>
      </c>
      <c r="G163" s="426">
        <v>7198000</v>
      </c>
    </row>
    <row r="164" spans="3:7" x14ac:dyDescent="0.35">
      <c r="C164" s="428" t="s">
        <v>714</v>
      </c>
      <c r="D164" s="428"/>
      <c r="E164" s="428"/>
      <c r="F164" s="428"/>
      <c r="G164" s="429">
        <v>13468919035</v>
      </c>
    </row>
    <row r="165" spans="3:7" x14ac:dyDescent="0.35">
      <c r="C165" t="s">
        <v>715</v>
      </c>
      <c r="D165" t="s">
        <v>716</v>
      </c>
      <c r="E165" t="s">
        <v>717</v>
      </c>
      <c r="F165" t="s">
        <v>718</v>
      </c>
      <c r="G165" s="426">
        <v>19117565</v>
      </c>
    </row>
    <row r="166" spans="3:7" x14ac:dyDescent="0.35">
      <c r="E166" t="s">
        <v>719</v>
      </c>
      <c r="F166" t="s">
        <v>720</v>
      </c>
      <c r="G166" s="426">
        <v>608892674</v>
      </c>
    </row>
    <row r="167" spans="3:7" x14ac:dyDescent="0.35">
      <c r="E167" t="s">
        <v>721</v>
      </c>
      <c r="F167" t="s">
        <v>722</v>
      </c>
      <c r="G167" s="426">
        <v>1490000</v>
      </c>
    </row>
    <row r="168" spans="3:7" x14ac:dyDescent="0.35">
      <c r="E168" t="s">
        <v>723</v>
      </c>
      <c r="F168" t="s">
        <v>724</v>
      </c>
      <c r="G168" s="426">
        <v>6800750</v>
      </c>
    </row>
    <row r="169" spans="3:7" x14ac:dyDescent="0.35">
      <c r="C169" s="428" t="s">
        <v>725</v>
      </c>
      <c r="D169" s="428"/>
      <c r="E169" s="428"/>
      <c r="F169" s="428"/>
      <c r="G169" s="429">
        <v>636300989</v>
      </c>
    </row>
    <row r="170" spans="3:7" x14ac:dyDescent="0.35">
      <c r="C170" t="s">
        <v>726</v>
      </c>
      <c r="D170" t="s">
        <v>727</v>
      </c>
      <c r="E170" t="s">
        <v>728</v>
      </c>
      <c r="F170" t="s">
        <v>17</v>
      </c>
      <c r="G170" s="426">
        <v>538876844</v>
      </c>
    </row>
    <row r="171" spans="3:7" x14ac:dyDescent="0.35">
      <c r="E171" t="s">
        <v>729</v>
      </c>
      <c r="F171" t="s">
        <v>18</v>
      </c>
      <c r="G171" s="426">
        <v>1991427810</v>
      </c>
    </row>
    <row r="172" spans="3:7" x14ac:dyDescent="0.35">
      <c r="E172" t="s">
        <v>730</v>
      </c>
      <c r="F172" t="s">
        <v>618</v>
      </c>
      <c r="G172" s="426">
        <v>80526021</v>
      </c>
    </row>
    <row r="173" spans="3:7" x14ac:dyDescent="0.35">
      <c r="E173" t="s">
        <v>731</v>
      </c>
      <c r="F173" t="s">
        <v>620</v>
      </c>
      <c r="G173" s="426">
        <v>54297225</v>
      </c>
    </row>
    <row r="174" spans="3:7" x14ac:dyDescent="0.35">
      <c r="E174" t="s">
        <v>732</v>
      </c>
      <c r="F174" t="s">
        <v>733</v>
      </c>
      <c r="G174" s="426">
        <v>146180500</v>
      </c>
    </row>
    <row r="175" spans="3:7" x14ac:dyDescent="0.35">
      <c r="E175" t="s">
        <v>734</v>
      </c>
      <c r="F175" t="s">
        <v>640</v>
      </c>
      <c r="G175" s="426">
        <v>15051800</v>
      </c>
    </row>
    <row r="176" spans="3:7" x14ac:dyDescent="0.35">
      <c r="E176" t="s">
        <v>735</v>
      </c>
      <c r="F176" t="s">
        <v>736</v>
      </c>
      <c r="G176" s="426">
        <v>6582000</v>
      </c>
    </row>
    <row r="177" spans="3:7" x14ac:dyDescent="0.35">
      <c r="E177" t="s">
        <v>737</v>
      </c>
      <c r="F177" t="s">
        <v>738</v>
      </c>
      <c r="G177" s="426">
        <v>897420869</v>
      </c>
    </row>
    <row r="178" spans="3:7" x14ac:dyDescent="0.35">
      <c r="C178" s="428" t="s">
        <v>739</v>
      </c>
      <c r="D178" s="428"/>
      <c r="E178" s="428"/>
      <c r="F178" s="428"/>
      <c r="G178" s="429">
        <v>3730363069</v>
      </c>
    </row>
    <row r="179" spans="3:7" x14ac:dyDescent="0.35">
      <c r="C179" t="s">
        <v>740</v>
      </c>
      <c r="D179" t="s">
        <v>741</v>
      </c>
      <c r="E179" t="s">
        <v>742</v>
      </c>
      <c r="F179" t="s">
        <v>743</v>
      </c>
      <c r="G179" s="426">
        <v>83665000</v>
      </c>
    </row>
    <row r="180" spans="3:7" x14ac:dyDescent="0.35">
      <c r="E180" t="s">
        <v>744</v>
      </c>
      <c r="F180" t="s">
        <v>745</v>
      </c>
      <c r="G180" s="426">
        <v>65763800</v>
      </c>
    </row>
    <row r="181" spans="3:7" x14ac:dyDescent="0.35">
      <c r="E181" t="s">
        <v>746</v>
      </c>
      <c r="F181" t="s">
        <v>747</v>
      </c>
      <c r="G181" s="426">
        <v>407440969</v>
      </c>
    </row>
    <row r="182" spans="3:7" x14ac:dyDescent="0.35">
      <c r="E182" t="s">
        <v>748</v>
      </c>
      <c r="F182" t="s">
        <v>749</v>
      </c>
      <c r="G182" s="426"/>
    </row>
    <row r="183" spans="3:7" x14ac:dyDescent="0.35">
      <c r="C183" s="428" t="s">
        <v>750</v>
      </c>
      <c r="D183" s="428"/>
      <c r="E183" s="428"/>
      <c r="F183" s="428"/>
      <c r="G183" s="429">
        <v>556869769</v>
      </c>
    </row>
    <row r="184" spans="3:7" x14ac:dyDescent="0.35">
      <c r="C184" t="s">
        <v>751</v>
      </c>
      <c r="D184" t="s">
        <v>752</v>
      </c>
      <c r="E184" t="s">
        <v>753</v>
      </c>
      <c r="F184" t="s">
        <v>754</v>
      </c>
      <c r="G184" s="426">
        <v>1086157089</v>
      </c>
    </row>
    <row r="185" spans="3:7" x14ac:dyDescent="0.35">
      <c r="E185" t="s">
        <v>755</v>
      </c>
      <c r="F185" t="s">
        <v>756</v>
      </c>
      <c r="G185" s="426">
        <v>11000000</v>
      </c>
    </row>
    <row r="186" spans="3:7" x14ac:dyDescent="0.35">
      <c r="E186" t="s">
        <v>757</v>
      </c>
      <c r="F186" t="s">
        <v>758</v>
      </c>
      <c r="G186" s="426">
        <v>1295090916</v>
      </c>
    </row>
    <row r="187" spans="3:7" x14ac:dyDescent="0.35">
      <c r="E187" t="s">
        <v>759</v>
      </c>
      <c r="F187" t="s">
        <v>760</v>
      </c>
      <c r="G187" s="426">
        <v>637372335</v>
      </c>
    </row>
    <row r="188" spans="3:7" x14ac:dyDescent="0.35">
      <c r="C188" s="428" t="s">
        <v>761</v>
      </c>
      <c r="D188" s="428"/>
      <c r="E188" s="428"/>
      <c r="F188" s="428"/>
      <c r="G188" s="429">
        <v>3029620340</v>
      </c>
    </row>
    <row r="189" spans="3:7" x14ac:dyDescent="0.35">
      <c r="C189" t="s">
        <v>762</v>
      </c>
      <c r="D189" t="s">
        <v>763</v>
      </c>
      <c r="E189" t="s">
        <v>764</v>
      </c>
      <c r="F189" t="s">
        <v>765</v>
      </c>
      <c r="G189" s="426">
        <v>10027097000</v>
      </c>
    </row>
    <row r="190" spans="3:7" x14ac:dyDescent="0.35">
      <c r="C190" s="428" t="s">
        <v>766</v>
      </c>
      <c r="D190" s="428"/>
      <c r="E190" s="428"/>
      <c r="F190" s="428"/>
      <c r="G190" s="429">
        <v>10027097000</v>
      </c>
    </row>
    <row r="191" spans="3:7" x14ac:dyDescent="0.35">
      <c r="C191" t="s">
        <v>767</v>
      </c>
      <c r="D191" t="s">
        <v>768</v>
      </c>
      <c r="E191" t="s">
        <v>769</v>
      </c>
      <c r="F191" t="s">
        <v>770</v>
      </c>
      <c r="G191" s="426">
        <v>85670000</v>
      </c>
    </row>
    <row r="192" spans="3:7" x14ac:dyDescent="0.35">
      <c r="E192" t="s">
        <v>771</v>
      </c>
      <c r="F192" t="s">
        <v>772</v>
      </c>
      <c r="G192" s="426">
        <v>1875606936</v>
      </c>
    </row>
    <row r="193" spans="5:7" x14ac:dyDescent="0.35">
      <c r="E193" t="s">
        <v>773</v>
      </c>
      <c r="F193" t="s">
        <v>774</v>
      </c>
      <c r="G193" s="426">
        <v>505305475</v>
      </c>
    </row>
    <row r="194" spans="5:7" x14ac:dyDescent="0.35">
      <c r="E194" t="s">
        <v>775</v>
      </c>
      <c r="F194" t="s">
        <v>776</v>
      </c>
      <c r="G194" s="426">
        <v>346698318</v>
      </c>
    </row>
    <row r="195" spans="5:7" x14ac:dyDescent="0.35">
      <c r="E195" t="s">
        <v>777</v>
      </c>
      <c r="F195" t="s">
        <v>778</v>
      </c>
      <c r="G195" s="426">
        <v>91605115</v>
      </c>
    </row>
    <row r="196" spans="5:7" x14ac:dyDescent="0.35">
      <c r="E196" t="s">
        <v>779</v>
      </c>
      <c r="F196" t="s">
        <v>780</v>
      </c>
      <c r="G196" s="426">
        <v>308725693</v>
      </c>
    </row>
    <row r="197" spans="5:7" x14ac:dyDescent="0.35">
      <c r="E197" t="s">
        <v>781</v>
      </c>
      <c r="F197" t="s">
        <v>782</v>
      </c>
      <c r="G197" s="426">
        <v>212247241</v>
      </c>
    </row>
    <row r="198" spans="5:7" x14ac:dyDescent="0.35">
      <c r="E198" t="s">
        <v>783</v>
      </c>
      <c r="F198" t="s">
        <v>784</v>
      </c>
      <c r="G198" s="426">
        <v>61153522</v>
      </c>
    </row>
    <row r="199" spans="5:7" x14ac:dyDescent="0.35">
      <c r="E199" t="s">
        <v>785</v>
      </c>
      <c r="F199" t="s">
        <v>786</v>
      </c>
      <c r="G199" s="426">
        <v>163744196</v>
      </c>
    </row>
    <row r="200" spans="5:7" x14ac:dyDescent="0.35">
      <c r="E200" t="s">
        <v>787</v>
      </c>
      <c r="F200" t="s">
        <v>788</v>
      </c>
      <c r="G200" s="426">
        <v>67516559</v>
      </c>
    </row>
    <row r="201" spans="5:7" x14ac:dyDescent="0.35">
      <c r="E201" t="s">
        <v>789</v>
      </c>
      <c r="F201" t="s">
        <v>790</v>
      </c>
      <c r="G201" s="426">
        <v>3724000</v>
      </c>
    </row>
    <row r="202" spans="5:7" x14ac:dyDescent="0.35">
      <c r="E202" t="s">
        <v>791</v>
      </c>
      <c r="F202" t="s">
        <v>792</v>
      </c>
      <c r="G202" s="426">
        <v>323873479</v>
      </c>
    </row>
    <row r="203" spans="5:7" x14ac:dyDescent="0.35">
      <c r="E203" t="s">
        <v>793</v>
      </c>
      <c r="F203" t="s">
        <v>794</v>
      </c>
      <c r="G203" s="426">
        <v>13667500</v>
      </c>
    </row>
    <row r="204" spans="5:7" x14ac:dyDescent="0.35">
      <c r="E204" t="s">
        <v>795</v>
      </c>
      <c r="F204" t="s">
        <v>796</v>
      </c>
      <c r="G204" s="426">
        <v>969700375</v>
      </c>
    </row>
    <row r="205" spans="5:7" x14ac:dyDescent="0.35">
      <c r="E205" t="s">
        <v>797</v>
      </c>
      <c r="F205" t="s">
        <v>798</v>
      </c>
      <c r="G205" s="426">
        <v>3400000</v>
      </c>
    </row>
    <row r="206" spans="5:7" x14ac:dyDescent="0.35">
      <c r="E206" t="s">
        <v>799</v>
      </c>
      <c r="F206" t="s">
        <v>800</v>
      </c>
      <c r="G206" s="426">
        <v>28000000</v>
      </c>
    </row>
    <row r="207" spans="5:7" x14ac:dyDescent="0.35">
      <c r="E207" t="s">
        <v>801</v>
      </c>
      <c r="F207" t="s">
        <v>802</v>
      </c>
      <c r="G207" s="426">
        <v>620000000</v>
      </c>
    </row>
    <row r="208" spans="5:7" x14ac:dyDescent="0.35">
      <c r="E208" t="s">
        <v>803</v>
      </c>
      <c r="F208" t="s">
        <v>804</v>
      </c>
      <c r="G208" s="426">
        <v>84145000</v>
      </c>
    </row>
    <row r="209" spans="5:7" x14ac:dyDescent="0.35">
      <c r="E209" t="s">
        <v>805</v>
      </c>
      <c r="F209" t="s">
        <v>806</v>
      </c>
      <c r="G209" s="426">
        <v>50100000</v>
      </c>
    </row>
    <row r="210" spans="5:7" x14ac:dyDescent="0.35">
      <c r="E210" t="s">
        <v>807</v>
      </c>
      <c r="F210" t="s">
        <v>808</v>
      </c>
      <c r="G210" s="426">
        <v>139308388</v>
      </c>
    </row>
    <row r="211" spans="5:7" x14ac:dyDescent="0.35">
      <c r="E211" t="s">
        <v>809</v>
      </c>
      <c r="F211" t="s">
        <v>810</v>
      </c>
      <c r="G211" s="426">
        <v>53285000</v>
      </c>
    </row>
    <row r="212" spans="5:7" x14ac:dyDescent="0.35">
      <c r="E212" t="s">
        <v>811</v>
      </c>
      <c r="F212" t="s">
        <v>812</v>
      </c>
      <c r="G212" s="426">
        <v>3604415365</v>
      </c>
    </row>
    <row r="213" spans="5:7" x14ac:dyDescent="0.35">
      <c r="E213" t="s">
        <v>813</v>
      </c>
      <c r="F213" t="s">
        <v>814</v>
      </c>
      <c r="G213" s="426">
        <v>346128481</v>
      </c>
    </row>
    <row r="214" spans="5:7" x14ac:dyDescent="0.35">
      <c r="E214" t="s">
        <v>815</v>
      </c>
      <c r="F214" t="s">
        <v>816</v>
      </c>
      <c r="G214" s="426">
        <v>100000000</v>
      </c>
    </row>
    <row r="215" spans="5:7" x14ac:dyDescent="0.35">
      <c r="E215" t="s">
        <v>817</v>
      </c>
      <c r="F215" t="s">
        <v>818</v>
      </c>
      <c r="G215" s="426">
        <v>6000000</v>
      </c>
    </row>
    <row r="216" spans="5:7" x14ac:dyDescent="0.35">
      <c r="E216" t="s">
        <v>819</v>
      </c>
      <c r="F216" t="s">
        <v>820</v>
      </c>
      <c r="G216" s="426">
        <v>1070511400</v>
      </c>
    </row>
    <row r="217" spans="5:7" x14ac:dyDescent="0.35">
      <c r="E217" t="s">
        <v>821</v>
      </c>
      <c r="F217" t="s">
        <v>822</v>
      </c>
      <c r="G217" s="426">
        <v>270005425</v>
      </c>
    </row>
    <row r="218" spans="5:7" x14ac:dyDescent="0.35">
      <c r="E218" t="s">
        <v>823</v>
      </c>
      <c r="F218" t="s">
        <v>824</v>
      </c>
      <c r="G218" s="426">
        <v>344890685</v>
      </c>
    </row>
    <row r="219" spans="5:7" x14ac:dyDescent="0.35">
      <c r="E219" t="s">
        <v>825</v>
      </c>
      <c r="F219" t="s">
        <v>826</v>
      </c>
      <c r="G219" s="426">
        <v>792600049</v>
      </c>
    </row>
    <row r="220" spans="5:7" x14ac:dyDescent="0.35">
      <c r="E220" t="s">
        <v>827</v>
      </c>
      <c r="F220" t="s">
        <v>828</v>
      </c>
      <c r="G220" s="426">
        <v>115592580</v>
      </c>
    </row>
    <row r="221" spans="5:7" x14ac:dyDescent="0.35">
      <c r="E221" t="s">
        <v>829</v>
      </c>
      <c r="F221" t="s">
        <v>830</v>
      </c>
      <c r="G221" s="426">
        <v>15740000</v>
      </c>
    </row>
    <row r="222" spans="5:7" x14ac:dyDescent="0.35">
      <c r="E222" t="s">
        <v>831</v>
      </c>
      <c r="F222" t="s">
        <v>832</v>
      </c>
      <c r="G222" s="426">
        <v>7504050</v>
      </c>
    </row>
    <row r="223" spans="5:7" x14ac:dyDescent="0.35">
      <c r="E223" t="s">
        <v>833</v>
      </c>
      <c r="F223" t="s">
        <v>834</v>
      </c>
      <c r="G223" s="426">
        <v>0</v>
      </c>
    </row>
    <row r="224" spans="5:7" x14ac:dyDescent="0.35">
      <c r="E224" t="s">
        <v>835</v>
      </c>
      <c r="F224" t="s">
        <v>836</v>
      </c>
      <c r="G224" s="426">
        <v>58190950</v>
      </c>
    </row>
    <row r="225" spans="2:7" x14ac:dyDescent="0.35">
      <c r="E225" t="s">
        <v>837</v>
      </c>
      <c r="F225" t="s">
        <v>838</v>
      </c>
      <c r="G225" s="426">
        <v>1960956800</v>
      </c>
    </row>
    <row r="226" spans="2:7" x14ac:dyDescent="0.35">
      <c r="E226" t="s">
        <v>839</v>
      </c>
      <c r="F226" t="s">
        <v>840</v>
      </c>
      <c r="G226" s="426">
        <v>5761442875</v>
      </c>
    </row>
    <row r="227" spans="2:7" x14ac:dyDescent="0.35">
      <c r="E227" t="s">
        <v>841</v>
      </c>
      <c r="F227" t="s">
        <v>842</v>
      </c>
      <c r="G227" s="426">
        <v>138142000</v>
      </c>
    </row>
    <row r="228" spans="2:7" x14ac:dyDescent="0.35">
      <c r="E228" t="s">
        <v>843</v>
      </c>
      <c r="F228" t="s">
        <v>844</v>
      </c>
      <c r="G228" s="426">
        <v>6300000000</v>
      </c>
    </row>
    <row r="229" spans="2:7" x14ac:dyDescent="0.35">
      <c r="E229" t="s">
        <v>845</v>
      </c>
      <c r="F229" t="s">
        <v>846</v>
      </c>
      <c r="G229" s="426">
        <v>12739212343</v>
      </c>
    </row>
    <row r="230" spans="2:7" x14ac:dyDescent="0.35">
      <c r="E230" t="s">
        <v>847</v>
      </c>
      <c r="F230" t="s">
        <v>848</v>
      </c>
      <c r="G230" s="426">
        <v>88400000</v>
      </c>
    </row>
    <row r="231" spans="2:7" x14ac:dyDescent="0.35">
      <c r="C231" s="428" t="s">
        <v>849</v>
      </c>
      <c r="D231" s="428"/>
      <c r="E231" s="428"/>
      <c r="F231" s="428"/>
      <c r="G231" s="429">
        <v>39727209800</v>
      </c>
    </row>
    <row r="232" spans="2:7" x14ac:dyDescent="0.35">
      <c r="C232" t="s">
        <v>850</v>
      </c>
      <c r="D232" t="s">
        <v>851</v>
      </c>
      <c r="E232" t="s">
        <v>852</v>
      </c>
      <c r="F232" t="s">
        <v>853</v>
      </c>
      <c r="G232" s="426">
        <v>100000000</v>
      </c>
    </row>
    <row r="233" spans="2:7" x14ac:dyDescent="0.35">
      <c r="E233" t="s">
        <v>854</v>
      </c>
      <c r="F233" t="s">
        <v>855</v>
      </c>
      <c r="G233" s="426">
        <v>120000000</v>
      </c>
    </row>
    <row r="234" spans="2:7" x14ac:dyDescent="0.35">
      <c r="E234" t="s">
        <v>856</v>
      </c>
      <c r="F234" t="s">
        <v>857</v>
      </c>
      <c r="G234" s="426">
        <v>70000000</v>
      </c>
    </row>
    <row r="235" spans="2:7" x14ac:dyDescent="0.35">
      <c r="C235" s="428" t="s">
        <v>858</v>
      </c>
      <c r="D235" s="428"/>
      <c r="E235" s="428"/>
      <c r="F235" s="428"/>
      <c r="G235" s="429">
        <v>290000000</v>
      </c>
    </row>
    <row r="236" spans="2:7" x14ac:dyDescent="0.35">
      <c r="B236" s="431" t="s">
        <v>859</v>
      </c>
      <c r="C236" s="431"/>
      <c r="D236" s="431"/>
      <c r="E236" s="431"/>
      <c r="F236" s="431"/>
      <c r="G236" s="432">
        <f>+G235+G231+G190+G188+G183+G178+G169+G164+G136+G123+G119+G112+G105+G74</f>
        <v>233322098527</v>
      </c>
    </row>
    <row r="237" spans="2:7" x14ac:dyDescent="0.35">
      <c r="B237" t="s">
        <v>860</v>
      </c>
      <c r="C237" t="s">
        <v>861</v>
      </c>
      <c r="D237" t="s">
        <v>862</v>
      </c>
      <c r="E237" t="s">
        <v>863</v>
      </c>
      <c r="F237" t="s">
        <v>864</v>
      </c>
      <c r="G237" s="440">
        <v>40571200</v>
      </c>
    </row>
    <row r="238" spans="2:7" x14ac:dyDescent="0.35">
      <c r="E238" t="s">
        <v>865</v>
      </c>
      <c r="F238" t="s">
        <v>866</v>
      </c>
      <c r="G238" s="441">
        <v>3924480</v>
      </c>
    </row>
    <row r="239" spans="2:7" x14ac:dyDescent="0.35">
      <c r="E239" t="s">
        <v>867</v>
      </c>
      <c r="F239" t="s">
        <v>868</v>
      </c>
      <c r="G239" s="441">
        <v>3924480</v>
      </c>
    </row>
    <row r="240" spans="2:7" x14ac:dyDescent="0.35">
      <c r="E240" t="s">
        <v>869</v>
      </c>
      <c r="F240" t="s">
        <v>870</v>
      </c>
      <c r="G240" s="441">
        <v>334000000</v>
      </c>
    </row>
    <row r="241" spans="2:8" x14ac:dyDescent="0.35">
      <c r="E241" t="s">
        <v>871</v>
      </c>
      <c r="F241" t="s">
        <v>872</v>
      </c>
      <c r="G241" s="441">
        <v>6132000</v>
      </c>
    </row>
    <row r="242" spans="2:8" x14ac:dyDescent="0.35">
      <c r="E242" t="s">
        <v>873</v>
      </c>
      <c r="F242" t="s">
        <v>874</v>
      </c>
      <c r="G242" s="441">
        <v>40471200</v>
      </c>
    </row>
    <row r="243" spans="2:8" x14ac:dyDescent="0.35">
      <c r="E243" t="s">
        <v>875</v>
      </c>
      <c r="F243" t="s">
        <v>876</v>
      </c>
      <c r="G243" s="441">
        <v>1787000000</v>
      </c>
    </row>
    <row r="244" spans="2:8" x14ac:dyDescent="0.35">
      <c r="E244" t="s">
        <v>877</v>
      </c>
      <c r="F244" t="s">
        <v>468</v>
      </c>
      <c r="G244" s="441">
        <v>1120000000</v>
      </c>
    </row>
    <row r="245" spans="2:8" x14ac:dyDescent="0.35">
      <c r="C245" s="428" t="s">
        <v>878</v>
      </c>
      <c r="D245" s="428"/>
      <c r="E245" s="428"/>
      <c r="F245" s="428"/>
      <c r="G245" s="442">
        <v>3336023360</v>
      </c>
    </row>
    <row r="246" spans="2:8" x14ac:dyDescent="0.35">
      <c r="C246" t="s">
        <v>879</v>
      </c>
      <c r="D246" t="s">
        <v>880</v>
      </c>
      <c r="E246" t="s">
        <v>881</v>
      </c>
      <c r="F246" t="s">
        <v>882</v>
      </c>
      <c r="G246" s="441">
        <v>2409000</v>
      </c>
      <c r="H246" s="424"/>
    </row>
    <row r="247" spans="2:8" x14ac:dyDescent="0.35">
      <c r="C247" s="428" t="s">
        <v>883</v>
      </c>
      <c r="D247" s="428"/>
      <c r="E247" s="428"/>
      <c r="F247" s="428"/>
      <c r="G247" s="442">
        <v>2409000</v>
      </c>
    </row>
    <row r="248" spans="2:8" x14ac:dyDescent="0.35">
      <c r="C248" t="s">
        <v>884</v>
      </c>
      <c r="D248" t="s">
        <v>885</v>
      </c>
      <c r="E248" t="s">
        <v>886</v>
      </c>
      <c r="F248" t="s">
        <v>610</v>
      </c>
      <c r="G248" s="441">
        <v>21000000</v>
      </c>
    </row>
    <row r="249" spans="2:8" x14ac:dyDescent="0.35">
      <c r="C249" s="428" t="s">
        <v>887</v>
      </c>
      <c r="D249" s="428"/>
      <c r="E249" s="428"/>
      <c r="F249" s="428"/>
      <c r="G249" s="442">
        <v>21000000</v>
      </c>
    </row>
    <row r="250" spans="2:8" x14ac:dyDescent="0.35">
      <c r="C250" t="s">
        <v>888</v>
      </c>
      <c r="D250" t="s">
        <v>889</v>
      </c>
      <c r="E250" t="s">
        <v>890</v>
      </c>
      <c r="F250" t="s">
        <v>891</v>
      </c>
      <c r="G250" s="441">
        <v>6682000</v>
      </c>
    </row>
    <row r="251" spans="2:8" x14ac:dyDescent="0.35">
      <c r="E251" t="s">
        <v>892</v>
      </c>
      <c r="F251" t="s">
        <v>445</v>
      </c>
      <c r="G251" s="441">
        <v>53000000</v>
      </c>
    </row>
    <row r="252" spans="2:8" x14ac:dyDescent="0.35">
      <c r="C252" s="428" t="s">
        <v>893</v>
      </c>
      <c r="D252" s="428"/>
      <c r="E252" s="428"/>
      <c r="F252" s="428"/>
      <c r="G252" s="442">
        <v>59682000</v>
      </c>
    </row>
    <row r="253" spans="2:8" x14ac:dyDescent="0.35">
      <c r="B253" s="431" t="s">
        <v>894</v>
      </c>
      <c r="C253" s="431"/>
      <c r="D253" s="431"/>
      <c r="E253" s="431"/>
      <c r="F253" s="431"/>
      <c r="G253" s="443">
        <v>3419114360</v>
      </c>
    </row>
    <row r="254" spans="2:8" x14ac:dyDescent="0.35">
      <c r="B254" t="s">
        <v>895</v>
      </c>
      <c r="C254" t="s">
        <v>896</v>
      </c>
      <c r="D254" t="s">
        <v>897</v>
      </c>
      <c r="E254" t="s">
        <v>898</v>
      </c>
      <c r="F254" t="s">
        <v>899</v>
      </c>
      <c r="G254" s="441">
        <v>130000000</v>
      </c>
    </row>
    <row r="255" spans="2:8" ht="17.25" customHeight="1" x14ac:dyDescent="0.35">
      <c r="C255" s="428" t="s">
        <v>900</v>
      </c>
      <c r="D255" s="428"/>
      <c r="E255" s="428"/>
      <c r="F255" s="428"/>
      <c r="G255" s="444">
        <v>130000000</v>
      </c>
    </row>
    <row r="256" spans="2:8" ht="17.25" customHeight="1" x14ac:dyDescent="0.35">
      <c r="B256" s="431" t="s">
        <v>901</v>
      </c>
      <c r="C256" s="431"/>
      <c r="D256" s="431"/>
      <c r="E256" s="431"/>
      <c r="F256" s="431"/>
      <c r="G256" s="443">
        <v>130000000</v>
      </c>
    </row>
    <row r="257" spans="2:9" ht="17.25" customHeight="1" x14ac:dyDescent="0.35">
      <c r="B257" s="431" t="s">
        <v>902</v>
      </c>
      <c r="C257" s="431"/>
      <c r="D257" s="431"/>
      <c r="E257" s="431"/>
      <c r="F257" s="431"/>
      <c r="G257" s="443">
        <f>+G256+G253+G236</f>
        <v>236871212887</v>
      </c>
    </row>
    <row r="258" spans="2:9" x14ac:dyDescent="0.35">
      <c r="B258" t="s">
        <v>903</v>
      </c>
      <c r="C258" t="s">
        <v>904</v>
      </c>
      <c r="D258" t="s">
        <v>905</v>
      </c>
      <c r="E258" t="s">
        <v>906</v>
      </c>
      <c r="F258" t="s">
        <v>907</v>
      </c>
      <c r="G258" s="441">
        <v>1484594000</v>
      </c>
    </row>
    <row r="259" spans="2:9" x14ac:dyDescent="0.35">
      <c r="C259" s="428" t="s">
        <v>908</v>
      </c>
      <c r="D259" s="428"/>
      <c r="E259" s="428"/>
      <c r="F259" s="428"/>
      <c r="G259" s="444">
        <v>1484594000</v>
      </c>
    </row>
    <row r="260" spans="2:9" x14ac:dyDescent="0.35">
      <c r="B260" s="431" t="s">
        <v>909</v>
      </c>
      <c r="C260" s="431"/>
      <c r="D260" s="431"/>
      <c r="E260" s="431"/>
      <c r="F260" s="431"/>
      <c r="G260" s="443">
        <f>+G259</f>
        <v>1484594000</v>
      </c>
    </row>
    <row r="261" spans="2:9" ht="15" thickBot="1" x14ac:dyDescent="0.4">
      <c r="B261" s="431" t="s">
        <v>910</v>
      </c>
      <c r="C261" s="431" t="s">
        <v>911</v>
      </c>
      <c r="D261" s="431"/>
      <c r="E261" s="431"/>
      <c r="F261" s="431"/>
      <c r="G261" s="443">
        <f>+G260+G257</f>
        <v>238355806887</v>
      </c>
    </row>
    <row r="262" spans="2:9" ht="15.5" thickTop="1" thickBot="1" x14ac:dyDescent="0.4">
      <c r="B262" s="433" t="s">
        <v>902</v>
      </c>
      <c r="C262" s="434"/>
      <c r="D262" s="434"/>
      <c r="E262" s="434"/>
      <c r="F262" s="434"/>
      <c r="G262" s="435"/>
      <c r="H262" s="424"/>
      <c r="I262" s="424"/>
    </row>
    <row r="263" spans="2:9" ht="15" thickTop="1" x14ac:dyDescent="0.35">
      <c r="G263" s="424"/>
    </row>
    <row r="264" spans="2:9" x14ac:dyDescent="0.35">
      <c r="G264" s="424"/>
    </row>
  </sheetData>
  <mergeCells count="5">
    <mergeCell ref="B2:G2"/>
    <mergeCell ref="B3:G3"/>
    <mergeCell ref="C4:G4"/>
    <mergeCell ref="B5:G5"/>
    <mergeCell ref="B6:G6"/>
  </mergeCells>
  <hyperlinks>
    <hyperlink ref="A1" location="Contenido!A1" display="Volver al menú" xr:uid="{BC373088-39B3-46B9-9958-092972B53BB7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160A-0B2A-447F-A0BC-9D2616DFE2D4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zoomScaleNormal="100" workbookViewId="0"/>
  </sheetViews>
  <sheetFormatPr baseColWidth="10" defaultRowHeight="14.5" x14ac:dyDescent="0.35"/>
  <cols>
    <col min="1" max="1" width="16.26953125" customWidth="1"/>
    <col min="2" max="2" width="20.54296875" customWidth="1"/>
    <col min="3" max="3" width="35.453125" bestFit="1" customWidth="1"/>
    <col min="4" max="4" width="12.81640625" customWidth="1"/>
    <col min="5" max="5" width="30.54296875" bestFit="1" customWidth="1"/>
    <col min="6" max="6" width="15.1796875" bestFit="1" customWidth="1"/>
  </cols>
  <sheetData>
    <row r="1" spans="1:6" x14ac:dyDescent="0.35">
      <c r="A1" s="56" t="s">
        <v>83</v>
      </c>
    </row>
    <row r="3" spans="1:6" ht="26" x14ac:dyDescent="0.6">
      <c r="B3" s="471" t="s">
        <v>81</v>
      </c>
      <c r="C3" s="471"/>
      <c r="D3" s="471"/>
      <c r="E3" s="471"/>
      <c r="F3" s="471"/>
    </row>
    <row r="4" spans="1:6" ht="18.5" x14ac:dyDescent="0.45">
      <c r="B4" s="472" t="s">
        <v>304</v>
      </c>
      <c r="C4" s="472"/>
      <c r="D4" s="472"/>
      <c r="E4" s="472"/>
      <c r="F4" s="472"/>
    </row>
    <row r="5" spans="1:6" x14ac:dyDescent="0.35">
      <c r="B5" s="475"/>
      <c r="C5" s="475"/>
      <c r="D5" s="475"/>
      <c r="E5" s="475"/>
      <c r="F5" s="475"/>
    </row>
    <row r="7" spans="1:6" x14ac:dyDescent="0.35">
      <c r="C7" s="3"/>
    </row>
    <row r="8" spans="1:6" x14ac:dyDescent="0.35">
      <c r="B8" s="51" t="s">
        <v>13</v>
      </c>
      <c r="C8" s="51" t="s">
        <v>14</v>
      </c>
      <c r="D8" s="51" t="s">
        <v>15</v>
      </c>
      <c r="E8" s="51" t="s">
        <v>16</v>
      </c>
      <c r="F8" s="51" t="s">
        <v>11</v>
      </c>
    </row>
    <row r="9" spans="1:6" x14ac:dyDescent="0.35">
      <c r="B9" s="52" t="s">
        <v>19</v>
      </c>
      <c r="C9" s="52" t="s">
        <v>20</v>
      </c>
      <c r="D9" s="52" t="s">
        <v>21</v>
      </c>
      <c r="E9" s="52" t="s">
        <v>17</v>
      </c>
      <c r="F9" s="53">
        <v>5500000000</v>
      </c>
    </row>
    <row r="10" spans="1:6" x14ac:dyDescent="0.35">
      <c r="B10" s="54" t="s">
        <v>22</v>
      </c>
      <c r="C10" s="54"/>
      <c r="D10" s="54"/>
      <c r="E10" s="54"/>
      <c r="F10" s="55">
        <f>+F9</f>
        <v>5500000000</v>
      </c>
    </row>
    <row r="11" spans="1:6" x14ac:dyDescent="0.35">
      <c r="B11" s="52" t="s">
        <v>23</v>
      </c>
      <c r="C11" s="52" t="s">
        <v>24</v>
      </c>
      <c r="D11" s="52" t="s">
        <v>25</v>
      </c>
      <c r="E11" s="52" t="s">
        <v>18</v>
      </c>
      <c r="F11" s="53">
        <v>1500000000</v>
      </c>
    </row>
    <row r="12" spans="1:6" x14ac:dyDescent="0.35">
      <c r="B12" s="54" t="s">
        <v>26</v>
      </c>
      <c r="C12" s="54"/>
      <c r="D12" s="54"/>
      <c r="E12" s="54"/>
      <c r="F12" s="55">
        <f>+F11</f>
        <v>1500000000</v>
      </c>
    </row>
    <row r="13" spans="1:6" x14ac:dyDescent="0.35">
      <c r="B13" s="52" t="s">
        <v>27</v>
      </c>
      <c r="C13" s="52" t="s">
        <v>28</v>
      </c>
      <c r="D13" s="52" t="s">
        <v>29</v>
      </c>
      <c r="E13" s="52" t="s">
        <v>30</v>
      </c>
      <c r="F13" s="53">
        <v>1000000000</v>
      </c>
    </row>
    <row r="14" spans="1:6" x14ac:dyDescent="0.35">
      <c r="B14" s="54" t="s">
        <v>31</v>
      </c>
      <c r="C14" s="54"/>
      <c r="D14" s="54"/>
      <c r="E14" s="54"/>
      <c r="F14" s="55">
        <f>+F13</f>
        <v>1000000000</v>
      </c>
    </row>
    <row r="15" spans="1:6" x14ac:dyDescent="0.35">
      <c r="B15" s="52" t="s">
        <v>32</v>
      </c>
      <c r="C15" s="52" t="s">
        <v>33</v>
      </c>
      <c r="D15" s="52" t="s">
        <v>34</v>
      </c>
      <c r="E15" s="52" t="s">
        <v>35</v>
      </c>
      <c r="F15" s="53">
        <v>4000000000</v>
      </c>
    </row>
    <row r="16" spans="1:6" x14ac:dyDescent="0.35">
      <c r="B16" s="54" t="s">
        <v>36</v>
      </c>
      <c r="C16" s="54"/>
      <c r="D16" s="54"/>
      <c r="E16" s="54"/>
      <c r="F16" s="55">
        <f>+F15</f>
        <v>4000000000</v>
      </c>
    </row>
    <row r="17" spans="2:6" x14ac:dyDescent="0.35">
      <c r="B17" s="289">
        <v>1532</v>
      </c>
      <c r="C17" s="52" t="s">
        <v>252</v>
      </c>
      <c r="D17" s="52">
        <v>15321501</v>
      </c>
      <c r="E17" s="52" t="s">
        <v>262</v>
      </c>
      <c r="F17" s="53">
        <v>1500000000</v>
      </c>
    </row>
    <row r="18" spans="2:6" x14ac:dyDescent="0.35">
      <c r="B18" s="54" t="s">
        <v>253</v>
      </c>
      <c r="C18" s="54"/>
      <c r="D18" s="54"/>
      <c r="E18" s="54"/>
      <c r="F18" s="55">
        <f>+F17</f>
        <v>1500000000</v>
      </c>
    </row>
    <row r="19" spans="2:6" ht="15" thickBot="1" x14ac:dyDescent="0.4">
      <c r="B19" s="5" t="s">
        <v>11</v>
      </c>
      <c r="C19" s="5"/>
      <c r="D19" s="5"/>
      <c r="E19" s="5"/>
      <c r="F19" s="6">
        <f>+F10+F12+F14+F16+F18</f>
        <v>13500000000</v>
      </c>
    </row>
    <row r="20" spans="2:6" ht="15" thickTop="1" x14ac:dyDescent="0.35">
      <c r="F20" s="339"/>
    </row>
  </sheetData>
  <mergeCells count="3">
    <mergeCell ref="B3:F3"/>
    <mergeCell ref="B4:F4"/>
    <mergeCell ref="B5:F5"/>
  </mergeCells>
  <hyperlinks>
    <hyperlink ref="A1" location="Contenido!A1" display="Volver al menú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G193"/>
  <sheetViews>
    <sheetView showGridLines="0" zoomScaleNormal="100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" sqref="B1"/>
    </sheetView>
  </sheetViews>
  <sheetFormatPr baseColWidth="10" defaultColWidth="11.453125" defaultRowHeight="10" outlineLevelRow="1" outlineLevelCol="1" x14ac:dyDescent="0.2"/>
  <cols>
    <col min="1" max="1" width="2.7265625" style="65" customWidth="1"/>
    <col min="2" max="2" width="57.7265625" style="65" customWidth="1"/>
    <col min="3" max="3" width="9" style="65" customWidth="1" outlineLevel="1"/>
    <col min="4" max="4" width="8" style="116" customWidth="1" outlineLevel="1"/>
    <col min="5" max="5" width="19.26953125" style="65" bestFit="1" customWidth="1" outlineLevel="1"/>
    <col min="6" max="6" width="11" style="65" customWidth="1"/>
    <col min="7" max="7" width="19.26953125" style="65" bestFit="1" customWidth="1"/>
    <col min="8" max="8" width="7.54296875" style="65" customWidth="1" outlineLevel="1"/>
    <col min="9" max="9" width="19.26953125" style="65" bestFit="1" customWidth="1" outlineLevel="1"/>
    <col min="10" max="10" width="7.81640625" style="65" customWidth="1" outlineLevel="1"/>
    <col min="11" max="11" width="19.26953125" style="65" bestFit="1" customWidth="1" outlineLevel="1"/>
    <col min="12" max="12" width="11.81640625" style="65" customWidth="1"/>
    <col min="13" max="13" width="20.26953125" style="65" customWidth="1"/>
    <col min="14" max="14" width="11.81640625" style="65" customWidth="1"/>
    <col min="15" max="15" width="17.453125" style="65" customWidth="1"/>
    <col min="16" max="16" width="17.81640625" style="65" customWidth="1"/>
    <col min="17" max="17" width="18.54296875" style="65" bestFit="1" customWidth="1"/>
    <col min="18" max="18" width="17.453125" style="65" customWidth="1"/>
    <col min="19" max="19" width="16.453125" style="65" bestFit="1" customWidth="1"/>
    <col min="20" max="20" width="18" style="65" customWidth="1"/>
    <col min="21" max="21" width="17.453125" style="65" customWidth="1"/>
    <col min="22" max="22" width="14.26953125" style="65" customWidth="1"/>
    <col min="23" max="23" width="17.54296875" style="65" bestFit="1" customWidth="1"/>
    <col min="24" max="24" width="19.1796875" style="65" customWidth="1"/>
    <col min="25" max="25" width="20" style="65" customWidth="1"/>
    <col min="26" max="27" width="18.54296875" style="65" customWidth="1"/>
    <col min="28" max="32" width="11.453125" style="65"/>
    <col min="33" max="33" width="13.26953125" style="65" bestFit="1" customWidth="1"/>
    <col min="34" max="16384" width="11.453125" style="65"/>
  </cols>
  <sheetData>
    <row r="1" spans="2:33" ht="14.5" outlineLevel="1" x14ac:dyDescent="0.35">
      <c r="B1" s="56" t="s">
        <v>83</v>
      </c>
      <c r="C1" s="56"/>
      <c r="D1" s="113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2:33" outlineLevel="1" x14ac:dyDescent="0.2">
      <c r="P2" s="303"/>
    </row>
    <row r="3" spans="2:33" ht="26" outlineLevel="1" x14ac:dyDescent="0.6">
      <c r="B3" s="471" t="s">
        <v>82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</row>
    <row r="4" spans="2:33" ht="18.5" outlineLevel="1" x14ac:dyDescent="0.45">
      <c r="B4" s="472" t="s">
        <v>393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</row>
    <row r="5" spans="2:33" ht="14.5" outlineLevel="1" x14ac:dyDescent="0.35">
      <c r="B5"/>
      <c r="C5" s="4"/>
      <c r="D5" s="11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33" ht="11.5" outlineLevel="1" x14ac:dyDescent="0.25">
      <c r="B6" s="4"/>
      <c r="C6" s="4"/>
      <c r="D6" s="114"/>
      <c r="E6" s="4"/>
      <c r="F6" s="4"/>
      <c r="G6" s="4"/>
      <c r="H6" s="4"/>
      <c r="I6" s="4"/>
      <c r="J6" s="4"/>
      <c r="K6" s="4"/>
      <c r="L6" s="4"/>
      <c r="M6" s="243"/>
      <c r="N6" s="243"/>
      <c r="O6" s="243"/>
      <c r="P6" s="150"/>
      <c r="Q6" s="320"/>
      <c r="R6" s="243"/>
      <c r="S6" s="4"/>
      <c r="T6" s="4"/>
      <c r="U6" s="243"/>
      <c r="V6" s="4"/>
      <c r="W6" s="4"/>
    </row>
    <row r="7" spans="2:33" ht="11.5" outlineLevel="1" x14ac:dyDescent="0.25">
      <c r="B7" s="4"/>
      <c r="C7" s="4"/>
      <c r="D7" s="1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33" ht="12" outlineLevel="1" thickBot="1" x14ac:dyDescent="0.3">
      <c r="B8" s="4"/>
      <c r="C8" s="4"/>
      <c r="D8" s="114"/>
      <c r="E8" s="4"/>
      <c r="F8" s="4"/>
      <c r="G8" s="117"/>
      <c r="H8" s="4"/>
      <c r="I8" s="4"/>
      <c r="J8" s="4"/>
      <c r="K8" s="4"/>
      <c r="L8" s="4"/>
      <c r="M8" s="150"/>
      <c r="N8" s="4"/>
      <c r="O8" s="4"/>
      <c r="P8" s="150"/>
      <c r="Q8" s="4"/>
      <c r="R8" s="4"/>
      <c r="S8" s="4"/>
      <c r="T8" s="4"/>
      <c r="U8" s="4"/>
      <c r="V8" s="4"/>
      <c r="W8" s="4"/>
    </row>
    <row r="9" spans="2:33" ht="17.25" customHeight="1" thickBot="1" x14ac:dyDescent="0.4">
      <c r="B9" s="4"/>
      <c r="C9" s="4"/>
      <c r="D9" s="1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1"/>
      <c r="R9" s="66" t="s">
        <v>106</v>
      </c>
      <c r="S9" s="61"/>
      <c r="T9" s="61"/>
      <c r="U9" s="66" t="s">
        <v>106</v>
      </c>
      <c r="V9" s="61"/>
      <c r="W9" s="61"/>
    </row>
    <row r="10" spans="2:33" ht="75" customHeight="1" thickBot="1" x14ac:dyDescent="0.25">
      <c r="B10" s="67" t="s">
        <v>9</v>
      </c>
      <c r="C10" s="176" t="s">
        <v>205</v>
      </c>
      <c r="D10" s="68" t="s">
        <v>124</v>
      </c>
      <c r="E10" s="148" t="s">
        <v>285</v>
      </c>
      <c r="F10" s="139" t="s">
        <v>10</v>
      </c>
      <c r="G10" s="68" t="s">
        <v>303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38" t="s">
        <v>323</v>
      </c>
      <c r="M10" s="139" t="s">
        <v>324</v>
      </c>
      <c r="N10" s="138" t="s">
        <v>325</v>
      </c>
      <c r="O10" s="139" t="s">
        <v>326</v>
      </c>
      <c r="P10" s="139" t="s">
        <v>327</v>
      </c>
      <c r="Q10" s="69" t="s">
        <v>111</v>
      </c>
      <c r="R10" s="334">
        <v>0.1048</v>
      </c>
      <c r="S10" s="69" t="s">
        <v>112</v>
      </c>
      <c r="T10" s="69" t="s">
        <v>113</v>
      </c>
      <c r="U10" s="334">
        <v>0.1048</v>
      </c>
      <c r="V10" s="69" t="s">
        <v>114</v>
      </c>
      <c r="W10" s="70" t="s">
        <v>115</v>
      </c>
    </row>
    <row r="11" spans="2:33" ht="16" outlineLevel="1" thickBot="1" x14ac:dyDescent="0.25">
      <c r="B11" s="72" t="s">
        <v>116</v>
      </c>
      <c r="C11" s="73"/>
      <c r="D11" s="109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 spans="2:33" s="141" customFormat="1" ht="13" outlineLevel="1" x14ac:dyDescent="0.3">
      <c r="B12" s="62" t="s">
        <v>92</v>
      </c>
      <c r="C12" s="62"/>
      <c r="D12" s="115"/>
      <c r="E12" s="63"/>
      <c r="F12" s="63"/>
      <c r="G12" s="63"/>
      <c r="H12" s="63"/>
      <c r="I12" s="63"/>
      <c r="J12" s="63"/>
      <c r="K12" s="63"/>
      <c r="L12" s="74"/>
      <c r="M12" s="74"/>
      <c r="N12" s="74"/>
      <c r="O12" s="74"/>
      <c r="P12" s="275"/>
      <c r="Q12" s="275"/>
      <c r="R12" s="275"/>
      <c r="S12" s="275"/>
      <c r="T12" s="275"/>
      <c r="U12" s="275"/>
      <c r="V12" s="275"/>
      <c r="W12" s="275"/>
    </row>
    <row r="13" spans="2:33" s="141" customFormat="1" ht="15" customHeight="1" outlineLevel="1" x14ac:dyDescent="0.25">
      <c r="B13" s="128" t="s">
        <v>309</v>
      </c>
      <c r="C13" s="128">
        <v>1044</v>
      </c>
      <c r="D13" s="486">
        <v>170</v>
      </c>
      <c r="E13" s="305">
        <v>10506000</v>
      </c>
      <c r="F13" s="387">
        <f t="shared" ref="F13" si="0">(G13/E13)-1</f>
        <v>0.11479154768703603</v>
      </c>
      <c r="G13" s="305">
        <v>11712000</v>
      </c>
      <c r="H13" s="321">
        <v>0.04</v>
      </c>
      <c r="I13" s="292">
        <f>+(G13*H13)+G13</f>
        <v>12180480</v>
      </c>
      <c r="J13" s="321">
        <v>0.06</v>
      </c>
      <c r="K13" s="292">
        <f>+(G13*J13)+G13</f>
        <v>12414720</v>
      </c>
      <c r="L13" s="405">
        <v>23</v>
      </c>
      <c r="M13" s="404">
        <f t="shared" ref="M13:M27" si="1">+L13*G13</f>
        <v>269376000</v>
      </c>
      <c r="N13" s="406">
        <v>30</v>
      </c>
      <c r="O13" s="402">
        <f t="shared" ref="O13:O28" si="2">+N13*G13</f>
        <v>351360000</v>
      </c>
      <c r="P13" s="402">
        <f t="shared" ref="P13:P22" si="3">+M13+O13</f>
        <v>620736000</v>
      </c>
      <c r="Q13" s="415">
        <f>M13/(1.1148)</f>
        <v>241636167.9224973</v>
      </c>
      <c r="R13" s="415">
        <f>($Q13*$R$10)+$Q13</f>
        <v>266959638.32077503</v>
      </c>
      <c r="S13" s="416">
        <f t="shared" ref="S13:S22" si="4">M13-R13</f>
        <v>2416361.679224968</v>
      </c>
      <c r="T13" s="415">
        <f>O13/(1+F13)</f>
        <v>315180000</v>
      </c>
      <c r="U13" s="402">
        <f t="shared" ref="U13:U22" si="5">($T13*$U$10)+$T13</f>
        <v>348210864</v>
      </c>
      <c r="V13" s="402">
        <f>O13-U13</f>
        <v>3149136</v>
      </c>
      <c r="W13" s="402">
        <f>S13+V13</f>
        <v>5565497.679224968</v>
      </c>
    </row>
    <row r="14" spans="2:33" s="276" customFormat="1" ht="11.5" outlineLevel="1" x14ac:dyDescent="0.25">
      <c r="B14" s="128" t="s">
        <v>286</v>
      </c>
      <c r="C14" s="128">
        <v>1044</v>
      </c>
      <c r="D14" s="486"/>
      <c r="E14" s="305">
        <v>10506000</v>
      </c>
      <c r="F14" s="387">
        <f t="shared" ref="F14:F28" si="6">(G14/E14)-1</f>
        <v>0.10479725870930889</v>
      </c>
      <c r="G14" s="305">
        <v>11607000</v>
      </c>
      <c r="H14" s="321">
        <v>0.04</v>
      </c>
      <c r="I14" s="292">
        <f>+(G14*H14)+G14</f>
        <v>12071280</v>
      </c>
      <c r="J14" s="321">
        <v>0.06</v>
      </c>
      <c r="K14" s="292">
        <f>+(G14*J14)+G14</f>
        <v>12303420</v>
      </c>
      <c r="L14" s="399">
        <v>200</v>
      </c>
      <c r="M14" s="414">
        <f t="shared" si="1"/>
        <v>2321400000</v>
      </c>
      <c r="N14" s="406">
        <v>194</v>
      </c>
      <c r="O14" s="397">
        <f t="shared" si="2"/>
        <v>2251758000</v>
      </c>
      <c r="P14" s="397">
        <f t="shared" si="3"/>
        <v>4573158000</v>
      </c>
      <c r="Q14" s="417">
        <f>M14/(1.1048)</f>
        <v>2101194786.3866763</v>
      </c>
      <c r="R14" s="417">
        <f>($Q14*$R$10)+$Q14</f>
        <v>2321400000</v>
      </c>
      <c r="S14" s="418">
        <f t="shared" si="4"/>
        <v>0</v>
      </c>
      <c r="T14" s="415">
        <f>O14/(1.1048)</f>
        <v>2038158942.7950761</v>
      </c>
      <c r="U14" s="397">
        <f t="shared" si="5"/>
        <v>2251758000</v>
      </c>
      <c r="V14" s="397">
        <f>O14-U14</f>
        <v>0</v>
      </c>
      <c r="W14" s="397">
        <f>S14+V14</f>
        <v>0</v>
      </c>
      <c r="Y14" s="277"/>
      <c r="AA14" s="277"/>
      <c r="AB14" s="278"/>
      <c r="AC14" s="278"/>
      <c r="AD14" s="278"/>
      <c r="AE14" s="278"/>
      <c r="AF14" s="278"/>
      <c r="AG14" s="277"/>
    </row>
    <row r="15" spans="2:33" s="276" customFormat="1" ht="15" customHeight="1" outlineLevel="1" x14ac:dyDescent="0.25">
      <c r="B15" s="128" t="s">
        <v>389</v>
      </c>
      <c r="C15" s="128">
        <v>8114</v>
      </c>
      <c r="D15" s="480">
        <v>175</v>
      </c>
      <c r="E15" s="305">
        <v>10506000</v>
      </c>
      <c r="F15" s="387">
        <f t="shared" ref="F15" si="7">(G15/E15)-1</f>
        <v>0.11479154768703603</v>
      </c>
      <c r="G15" s="305">
        <v>11712000</v>
      </c>
      <c r="H15" s="321">
        <v>0.04</v>
      </c>
      <c r="I15" s="292">
        <f>+(G15*H15)+G15</f>
        <v>12180480</v>
      </c>
      <c r="J15" s="321">
        <v>0.06</v>
      </c>
      <c r="K15" s="292">
        <f t="shared" ref="K15" si="8">+(G15*J15)+G15</f>
        <v>12414720</v>
      </c>
      <c r="L15" s="398">
        <v>38</v>
      </c>
      <c r="M15" s="404">
        <f t="shared" si="1"/>
        <v>445056000</v>
      </c>
      <c r="N15" s="398">
        <v>38</v>
      </c>
      <c r="O15" s="402">
        <f t="shared" si="2"/>
        <v>445056000</v>
      </c>
      <c r="P15" s="402">
        <f t="shared" si="3"/>
        <v>890112000</v>
      </c>
      <c r="Q15" s="415">
        <f>M15/(1+F15)</f>
        <v>399228000</v>
      </c>
      <c r="R15" s="415">
        <f>($Q15*$R$10)+$Q15</f>
        <v>441067094.39999998</v>
      </c>
      <c r="S15" s="416">
        <f t="shared" si="4"/>
        <v>3988905.6000000238</v>
      </c>
      <c r="T15" s="415">
        <f>O15/(1+F15)</f>
        <v>399228000</v>
      </c>
      <c r="U15" s="402">
        <f t="shared" si="5"/>
        <v>441067094.39999998</v>
      </c>
      <c r="V15" s="402">
        <f>O15-U15</f>
        <v>3988905.6000000238</v>
      </c>
      <c r="W15" s="402">
        <f>S15+V15</f>
        <v>7977811.2000000477</v>
      </c>
      <c r="Y15" s="277"/>
      <c r="AA15" s="277"/>
      <c r="AB15" s="278"/>
      <c r="AC15" s="278"/>
      <c r="AD15" s="278"/>
      <c r="AE15" s="278"/>
      <c r="AF15" s="278"/>
      <c r="AG15" s="277"/>
    </row>
    <row r="16" spans="2:33" s="276" customFormat="1" ht="11.5" outlineLevel="1" x14ac:dyDescent="0.25">
      <c r="B16" s="128" t="s">
        <v>287</v>
      </c>
      <c r="C16" s="128">
        <v>8114</v>
      </c>
      <c r="D16" s="481"/>
      <c r="E16" s="305">
        <v>10506000</v>
      </c>
      <c r="F16" s="387">
        <f t="shared" si="6"/>
        <v>0.10479725870930889</v>
      </c>
      <c r="G16" s="305">
        <v>11607000</v>
      </c>
      <c r="H16" s="321">
        <v>0.04</v>
      </c>
      <c r="I16" s="292">
        <f>+(G16*H16)+G16</f>
        <v>12071280</v>
      </c>
      <c r="J16" s="321">
        <v>0.06</v>
      </c>
      <c r="K16" s="292">
        <f t="shared" ref="K16:K27" si="9">+(G16*J16)+G16</f>
        <v>12303420</v>
      </c>
      <c r="L16" s="398">
        <v>357</v>
      </c>
      <c r="M16" s="404">
        <f t="shared" si="1"/>
        <v>4143699000</v>
      </c>
      <c r="N16" s="398">
        <v>328</v>
      </c>
      <c r="O16" s="402">
        <f t="shared" si="2"/>
        <v>3807096000</v>
      </c>
      <c r="P16" s="397">
        <f t="shared" si="3"/>
        <v>7950795000</v>
      </c>
      <c r="Q16" s="415">
        <f>M16/(1.1048)</f>
        <v>3750632693.7002172</v>
      </c>
      <c r="R16" s="417">
        <f>($Q16*$R$10)+$Q16</f>
        <v>4143699000</v>
      </c>
      <c r="S16" s="418">
        <f t="shared" si="4"/>
        <v>0</v>
      </c>
      <c r="T16" s="417">
        <f>O16/(1.1048)</f>
        <v>3445959449.674149</v>
      </c>
      <c r="U16" s="397">
        <f t="shared" si="5"/>
        <v>3807096000</v>
      </c>
      <c r="V16" s="397">
        <f>O16-U16</f>
        <v>0</v>
      </c>
      <c r="W16" s="397">
        <f>S16+V16</f>
        <v>0</v>
      </c>
      <c r="Y16" s="277"/>
      <c r="AA16" s="277"/>
      <c r="AB16" s="278"/>
      <c r="AC16" s="278"/>
      <c r="AD16" s="278"/>
      <c r="AE16" s="278"/>
      <c r="AF16" s="278"/>
      <c r="AG16" s="277"/>
    </row>
    <row r="17" spans="2:33" s="276" customFormat="1" ht="12" customHeight="1" outlineLevel="1" x14ac:dyDescent="0.25">
      <c r="B17" s="128" t="s">
        <v>310</v>
      </c>
      <c r="C17" s="128">
        <v>1043</v>
      </c>
      <c r="D17" s="476">
        <v>170</v>
      </c>
      <c r="E17" s="305">
        <v>10506000</v>
      </c>
      <c r="F17" s="387">
        <f t="shared" ref="F17" si="10">(G17/E17)-1</f>
        <v>0.11479154768703603</v>
      </c>
      <c r="G17" s="305">
        <v>11712000</v>
      </c>
      <c r="H17" s="321">
        <v>0.04</v>
      </c>
      <c r="I17" s="292">
        <f t="shared" ref="I17" si="11">+(G17*H17)+G17</f>
        <v>12180480</v>
      </c>
      <c r="J17" s="321">
        <v>0.06</v>
      </c>
      <c r="K17" s="292">
        <f t="shared" ref="K17" si="12">+(G17*J17)+G17</f>
        <v>12414720</v>
      </c>
      <c r="L17" s="398">
        <v>7</v>
      </c>
      <c r="M17" s="404">
        <f t="shared" si="1"/>
        <v>81984000</v>
      </c>
      <c r="N17" s="398">
        <v>10</v>
      </c>
      <c r="O17" s="402">
        <f t="shared" si="2"/>
        <v>117120000</v>
      </c>
      <c r="P17" s="402">
        <f t="shared" si="3"/>
        <v>199104000</v>
      </c>
      <c r="Q17" s="415">
        <f>M17/(1+F17)</f>
        <v>73542000</v>
      </c>
      <c r="R17" s="417">
        <f t="shared" ref="R17:R18" si="13">($Q17*$R$10)+$Q17</f>
        <v>81249201.599999994</v>
      </c>
      <c r="S17" s="416">
        <f t="shared" si="4"/>
        <v>734798.40000000596</v>
      </c>
      <c r="T17" s="415">
        <f t="shared" ref="T17:T22" si="14">O17/(1+F17)</f>
        <v>105060000</v>
      </c>
      <c r="U17" s="402">
        <f t="shared" si="5"/>
        <v>116070288</v>
      </c>
      <c r="V17" s="397">
        <f t="shared" ref="V17:V20" si="15">O17-U17</f>
        <v>1049712</v>
      </c>
      <c r="W17" s="397">
        <f t="shared" ref="W17:W20" si="16">S17+V17</f>
        <v>1784510.400000006</v>
      </c>
      <c r="Y17" s="277"/>
      <c r="AA17" s="277"/>
      <c r="AB17" s="278"/>
      <c r="AC17" s="278"/>
      <c r="AD17" s="278"/>
      <c r="AE17" s="278"/>
      <c r="AF17" s="278"/>
      <c r="AG17" s="277"/>
    </row>
    <row r="18" spans="2:33" s="276" customFormat="1" ht="12" customHeight="1" outlineLevel="1" x14ac:dyDescent="0.25">
      <c r="B18" s="128" t="s">
        <v>263</v>
      </c>
      <c r="C18" s="128">
        <v>1043</v>
      </c>
      <c r="D18" s="485"/>
      <c r="E18" s="305">
        <v>10506000</v>
      </c>
      <c r="F18" s="387">
        <f t="shared" si="6"/>
        <v>0.10479725870930889</v>
      </c>
      <c r="G18" s="305">
        <v>11607000</v>
      </c>
      <c r="H18" s="321">
        <v>0.04</v>
      </c>
      <c r="I18" s="292">
        <f t="shared" ref="I18:I27" si="17">+(G18*H18)+G18</f>
        <v>12071280</v>
      </c>
      <c r="J18" s="321">
        <v>0.06</v>
      </c>
      <c r="K18" s="292">
        <f t="shared" si="9"/>
        <v>12303420</v>
      </c>
      <c r="L18" s="398">
        <v>81</v>
      </c>
      <c r="M18" s="404">
        <f t="shared" si="1"/>
        <v>940167000</v>
      </c>
      <c r="N18" s="398">
        <v>72</v>
      </c>
      <c r="O18" s="402">
        <f t="shared" si="2"/>
        <v>835704000</v>
      </c>
      <c r="P18" s="397">
        <f t="shared" si="3"/>
        <v>1775871000</v>
      </c>
      <c r="Q18" s="402">
        <f>M18/(1+F18)</f>
        <v>850986000</v>
      </c>
      <c r="R18" s="397">
        <f t="shared" si="13"/>
        <v>940169332.79999995</v>
      </c>
      <c r="S18" s="401">
        <f t="shared" si="4"/>
        <v>-2332.7999999523163</v>
      </c>
      <c r="T18" s="402">
        <f t="shared" si="14"/>
        <v>756432000</v>
      </c>
      <c r="U18" s="402">
        <f t="shared" si="5"/>
        <v>835706073.60000002</v>
      </c>
      <c r="V18" s="397">
        <f t="shared" si="15"/>
        <v>-2073.6000000238419</v>
      </c>
      <c r="W18" s="397">
        <f t="shared" si="16"/>
        <v>-4406.3999999761581</v>
      </c>
      <c r="Y18" s="277"/>
      <c r="AA18" s="277"/>
      <c r="AB18" s="278"/>
      <c r="AC18" s="278"/>
      <c r="AD18" s="278"/>
      <c r="AE18" s="278"/>
      <c r="AF18" s="278"/>
      <c r="AG18" s="277"/>
    </row>
    <row r="19" spans="2:33" s="276" customFormat="1" ht="12" customHeight="1" outlineLevel="1" x14ac:dyDescent="0.25">
      <c r="B19" s="128" t="s">
        <v>311</v>
      </c>
      <c r="C19" s="128">
        <v>1042</v>
      </c>
      <c r="D19" s="480">
        <v>170</v>
      </c>
      <c r="E19" s="305">
        <v>10506000</v>
      </c>
      <c r="F19" s="387">
        <f t="shared" ref="F19" si="18">(G19/E19)-1</f>
        <v>0.11479154768703603</v>
      </c>
      <c r="G19" s="305">
        <v>11712000</v>
      </c>
      <c r="H19" s="321">
        <v>0.04</v>
      </c>
      <c r="I19" s="292">
        <f t="shared" ref="I19" si="19">+(G19*H19)+G19</f>
        <v>12180480</v>
      </c>
      <c r="J19" s="321">
        <v>0.06</v>
      </c>
      <c r="K19" s="292">
        <f t="shared" ref="K19" si="20">+(G19*J19)+G19</f>
        <v>12414720</v>
      </c>
      <c r="L19" s="398">
        <v>41</v>
      </c>
      <c r="M19" s="404">
        <f t="shared" si="1"/>
        <v>480192000</v>
      </c>
      <c r="N19" s="398">
        <v>45</v>
      </c>
      <c r="O19" s="402">
        <f t="shared" si="2"/>
        <v>527040000</v>
      </c>
      <c r="P19" s="397">
        <f t="shared" si="3"/>
        <v>1007232000</v>
      </c>
      <c r="Q19" s="402">
        <f>M19/(1+F19)</f>
        <v>430746000</v>
      </c>
      <c r="R19" s="397">
        <f>($Q19*$R$10)+$Q19</f>
        <v>475888180.80000001</v>
      </c>
      <c r="S19" s="401">
        <f t="shared" si="4"/>
        <v>4303819.1999999881</v>
      </c>
      <c r="T19" s="402">
        <f t="shared" si="14"/>
        <v>472770000</v>
      </c>
      <c r="U19" s="402">
        <f t="shared" si="5"/>
        <v>522316296</v>
      </c>
      <c r="V19" s="397">
        <f>O19-U19</f>
        <v>4723704</v>
      </c>
      <c r="W19" s="397">
        <f t="shared" si="16"/>
        <v>9027523.1999999881</v>
      </c>
      <c r="Y19" s="277"/>
      <c r="AA19" s="277"/>
      <c r="AB19" s="278"/>
      <c r="AC19" s="278"/>
      <c r="AD19" s="278"/>
      <c r="AE19" s="278"/>
      <c r="AF19" s="278"/>
      <c r="AG19" s="277"/>
    </row>
    <row r="20" spans="2:33" s="276" customFormat="1" ht="12" customHeight="1" outlineLevel="1" x14ac:dyDescent="0.25">
      <c r="B20" s="128" t="s">
        <v>264</v>
      </c>
      <c r="C20" s="128">
        <v>1042</v>
      </c>
      <c r="D20" s="481"/>
      <c r="E20" s="305">
        <v>10506000</v>
      </c>
      <c r="F20" s="387">
        <f t="shared" si="6"/>
        <v>0.10479725870930889</v>
      </c>
      <c r="G20" s="305">
        <v>11607000</v>
      </c>
      <c r="H20" s="321">
        <v>0.04</v>
      </c>
      <c r="I20" s="292">
        <f t="shared" si="17"/>
        <v>12071280</v>
      </c>
      <c r="J20" s="321">
        <v>0.06</v>
      </c>
      <c r="K20" s="292">
        <f t="shared" si="9"/>
        <v>12303420</v>
      </c>
      <c r="L20" s="398">
        <v>232</v>
      </c>
      <c r="M20" s="404">
        <f t="shared" si="1"/>
        <v>2692824000</v>
      </c>
      <c r="N20" s="398">
        <v>237</v>
      </c>
      <c r="O20" s="402">
        <f t="shared" si="2"/>
        <v>2750859000</v>
      </c>
      <c r="P20" s="397">
        <f t="shared" si="3"/>
        <v>5443683000</v>
      </c>
      <c r="Q20" s="402">
        <f t="shared" ref="Q20" si="21">M20/(1+F20)</f>
        <v>2437392000</v>
      </c>
      <c r="R20" s="397">
        <f>($Q20*$R$10)+$Q20</f>
        <v>2692830681.5999999</v>
      </c>
      <c r="S20" s="401">
        <f t="shared" si="4"/>
        <v>-6681.5999999046326</v>
      </c>
      <c r="T20" s="402">
        <f t="shared" si="14"/>
        <v>2489922000</v>
      </c>
      <c r="U20" s="402">
        <f t="shared" si="5"/>
        <v>2750865825.5999999</v>
      </c>
      <c r="V20" s="397">
        <f t="shared" si="15"/>
        <v>-6825.5999999046326</v>
      </c>
      <c r="W20" s="397">
        <f t="shared" si="16"/>
        <v>-13507.199999809265</v>
      </c>
      <c r="Y20" s="277"/>
      <c r="AA20" s="277"/>
      <c r="AB20" s="278"/>
      <c r="AC20" s="278"/>
      <c r="AD20" s="278"/>
      <c r="AE20" s="278"/>
      <c r="AF20" s="278"/>
      <c r="AG20" s="277"/>
    </row>
    <row r="21" spans="2:33" s="276" customFormat="1" ht="13.5" customHeight="1" outlineLevel="1" x14ac:dyDescent="0.25">
      <c r="B21" s="128" t="s">
        <v>312</v>
      </c>
      <c r="C21" s="128">
        <v>106932</v>
      </c>
      <c r="D21" s="476">
        <v>148</v>
      </c>
      <c r="E21" s="305">
        <v>10506000</v>
      </c>
      <c r="F21" s="387">
        <f t="shared" ref="F21" si="22">(G21/E21)-1</f>
        <v>0.11479154768703603</v>
      </c>
      <c r="G21" s="305">
        <v>11712000</v>
      </c>
      <c r="H21" s="321">
        <v>0.04</v>
      </c>
      <c r="I21" s="292">
        <f t="shared" ref="I21" si="23">+(G21*H21)+G21</f>
        <v>12180480</v>
      </c>
      <c r="J21" s="321">
        <v>0.06</v>
      </c>
      <c r="K21" s="292">
        <f t="shared" ref="K21" si="24">+(G21*J21)+G21</f>
        <v>12414720</v>
      </c>
      <c r="L21" s="398">
        <v>15</v>
      </c>
      <c r="M21" s="404">
        <f t="shared" si="1"/>
        <v>175680000</v>
      </c>
      <c r="N21" s="398">
        <v>17</v>
      </c>
      <c r="O21" s="402">
        <f t="shared" si="2"/>
        <v>199104000</v>
      </c>
      <c r="P21" s="397">
        <f t="shared" si="3"/>
        <v>374784000</v>
      </c>
      <c r="Q21" s="402">
        <f>M21/(1+F21)</f>
        <v>157590000</v>
      </c>
      <c r="R21" s="397">
        <f>($Q21*$R$10)+$Q21</f>
        <v>174105432</v>
      </c>
      <c r="S21" s="401">
        <f t="shared" si="4"/>
        <v>1574568</v>
      </c>
      <c r="T21" s="402">
        <f t="shared" si="14"/>
        <v>178602000</v>
      </c>
      <c r="U21" s="402">
        <f t="shared" si="5"/>
        <v>197319489.59999999</v>
      </c>
      <c r="V21" s="397">
        <f>O21-U21</f>
        <v>1784510.400000006</v>
      </c>
      <c r="W21" s="397">
        <f>S21+V21</f>
        <v>3359078.400000006</v>
      </c>
      <c r="Y21" s="277"/>
      <c r="AA21" s="277"/>
      <c r="AB21" s="278"/>
      <c r="AC21" s="278"/>
      <c r="AD21" s="278"/>
      <c r="AE21" s="278"/>
      <c r="AF21" s="278"/>
      <c r="AG21" s="277"/>
    </row>
    <row r="22" spans="2:33" s="276" customFormat="1" ht="13.5" customHeight="1" outlineLevel="1" x14ac:dyDescent="0.25">
      <c r="B22" s="128" t="s">
        <v>241</v>
      </c>
      <c r="C22" s="128">
        <v>106932</v>
      </c>
      <c r="D22" s="477"/>
      <c r="E22" s="305">
        <v>10506000</v>
      </c>
      <c r="F22" s="387">
        <f t="shared" si="6"/>
        <v>0.10479725870930889</v>
      </c>
      <c r="G22" s="305">
        <v>11607000</v>
      </c>
      <c r="H22" s="321">
        <v>0.04</v>
      </c>
      <c r="I22" s="292">
        <f t="shared" si="17"/>
        <v>12071280</v>
      </c>
      <c r="J22" s="321">
        <v>0.06</v>
      </c>
      <c r="K22" s="292">
        <f t="shared" si="9"/>
        <v>12303420</v>
      </c>
      <c r="L22" s="398">
        <v>89</v>
      </c>
      <c r="M22" s="404">
        <f t="shared" si="1"/>
        <v>1033023000</v>
      </c>
      <c r="N22" s="398">
        <v>86</v>
      </c>
      <c r="O22" s="402">
        <f t="shared" si="2"/>
        <v>998202000</v>
      </c>
      <c r="P22" s="397">
        <f t="shared" si="3"/>
        <v>2031225000</v>
      </c>
      <c r="Q22" s="402">
        <f>M22/(1+F22)</f>
        <v>935034000.00000012</v>
      </c>
      <c r="R22" s="397">
        <f>($Q22*$R$10)+$Q22</f>
        <v>1033025563.2000002</v>
      </c>
      <c r="S22" s="401">
        <f t="shared" si="4"/>
        <v>-2563.200000166893</v>
      </c>
      <c r="T22" s="402">
        <f t="shared" si="14"/>
        <v>903516000</v>
      </c>
      <c r="U22" s="402">
        <f t="shared" si="5"/>
        <v>998204476.79999995</v>
      </c>
      <c r="V22" s="397">
        <f>O22-U22</f>
        <v>-2476.7999999523163</v>
      </c>
      <c r="W22" s="397">
        <f>S22+V22</f>
        <v>-5040.0000001192093</v>
      </c>
      <c r="Y22" s="277"/>
      <c r="AA22" s="277"/>
      <c r="AB22" s="278"/>
      <c r="AC22" s="278"/>
      <c r="AD22" s="278"/>
      <c r="AE22" s="278"/>
      <c r="AF22" s="278"/>
      <c r="AG22" s="277"/>
    </row>
    <row r="23" spans="2:33" s="276" customFormat="1" ht="13.5" customHeight="1" outlineLevel="1" x14ac:dyDescent="0.25">
      <c r="B23" s="128" t="s">
        <v>313</v>
      </c>
      <c r="C23" s="128">
        <v>53052</v>
      </c>
      <c r="D23" s="476">
        <v>144</v>
      </c>
      <c r="E23" s="305">
        <v>6248000</v>
      </c>
      <c r="F23" s="387">
        <f t="shared" ref="F23" si="25">(G23/E23)-1</f>
        <v>0.11475672215108834</v>
      </c>
      <c r="G23" s="305">
        <v>6965000</v>
      </c>
      <c r="H23" s="321">
        <v>0.04</v>
      </c>
      <c r="I23" s="292">
        <f t="shared" ref="I23" si="26">+(G23*H23)+G23</f>
        <v>7243600</v>
      </c>
      <c r="J23" s="321">
        <v>0.06</v>
      </c>
      <c r="K23" s="292">
        <f t="shared" ref="K23" si="27">+(G23*J23)+G23</f>
        <v>7382900</v>
      </c>
      <c r="L23" s="398">
        <v>0</v>
      </c>
      <c r="M23" s="404">
        <f t="shared" si="1"/>
        <v>0</v>
      </c>
      <c r="N23" s="398">
        <v>0</v>
      </c>
      <c r="O23" s="402">
        <f t="shared" si="2"/>
        <v>0</v>
      </c>
      <c r="P23" s="397">
        <f t="shared" ref="P23:P28" si="28">+M23+O23</f>
        <v>0</v>
      </c>
      <c r="Q23" s="402">
        <f t="shared" ref="Q23:Q28" si="29">M23/(1+F23)</f>
        <v>0</v>
      </c>
      <c r="R23" s="397">
        <f t="shared" ref="R23:R28" si="30">($Q23*$R$10)+$Q23</f>
        <v>0</v>
      </c>
      <c r="S23" s="401">
        <f t="shared" ref="S23:S28" si="31">M23-R23</f>
        <v>0</v>
      </c>
      <c r="T23" s="402">
        <f t="shared" ref="T23:T28" si="32">O23/(1+F23)</f>
        <v>0</v>
      </c>
      <c r="U23" s="402">
        <f t="shared" ref="U23:U28" si="33">($T23*$U$10)+$T23</f>
        <v>0</v>
      </c>
      <c r="V23" s="397">
        <f t="shared" ref="V23:V28" si="34">O23-U23</f>
        <v>0</v>
      </c>
      <c r="W23" s="397">
        <f t="shared" ref="W23:W28" si="35">S23+V23</f>
        <v>0</v>
      </c>
      <c r="Y23" s="277"/>
      <c r="AA23" s="277"/>
      <c r="AB23" s="278"/>
      <c r="AC23" s="278"/>
      <c r="AD23" s="278"/>
      <c r="AE23" s="278"/>
      <c r="AF23" s="278"/>
      <c r="AG23" s="277"/>
    </row>
    <row r="24" spans="2:33" s="276" customFormat="1" ht="12" customHeight="1" outlineLevel="1" x14ac:dyDescent="0.25">
      <c r="B24" s="128" t="s">
        <v>145</v>
      </c>
      <c r="C24" s="128">
        <v>53052</v>
      </c>
      <c r="D24" s="477"/>
      <c r="E24" s="305">
        <v>6248000</v>
      </c>
      <c r="F24" s="387">
        <f t="shared" si="6"/>
        <v>0.10467349551856597</v>
      </c>
      <c r="G24" s="305">
        <v>6902000</v>
      </c>
      <c r="H24" s="321">
        <v>0.04</v>
      </c>
      <c r="I24" s="292">
        <f t="shared" si="17"/>
        <v>7178080</v>
      </c>
      <c r="J24" s="321">
        <v>0.06</v>
      </c>
      <c r="K24" s="292">
        <f t="shared" si="9"/>
        <v>7316120</v>
      </c>
      <c r="L24" s="398">
        <v>18</v>
      </c>
      <c r="M24" s="404">
        <f t="shared" si="1"/>
        <v>124236000</v>
      </c>
      <c r="N24" s="398">
        <v>14</v>
      </c>
      <c r="O24" s="402">
        <f t="shared" si="2"/>
        <v>96628000</v>
      </c>
      <c r="P24" s="397">
        <f t="shared" si="28"/>
        <v>220864000</v>
      </c>
      <c r="Q24" s="402">
        <f t="shared" si="29"/>
        <v>112464000</v>
      </c>
      <c r="R24" s="397">
        <f>($Q24*$R$10)+$Q24</f>
        <v>124250227.2</v>
      </c>
      <c r="S24" s="401">
        <f t="shared" si="31"/>
        <v>-14227.20000000298</v>
      </c>
      <c r="T24" s="402">
        <f t="shared" si="32"/>
        <v>87472000</v>
      </c>
      <c r="U24" s="402">
        <f>($T24*$U$10)+$T24</f>
        <v>96639065.599999994</v>
      </c>
      <c r="V24" s="397">
        <f t="shared" si="34"/>
        <v>-11065.59999999404</v>
      </c>
      <c r="W24" s="397">
        <f t="shared" si="35"/>
        <v>-25292.79999999702</v>
      </c>
      <c r="Y24" s="277"/>
      <c r="AA24" s="277"/>
      <c r="AB24" s="278"/>
      <c r="AC24" s="278"/>
      <c r="AD24" s="278"/>
      <c r="AE24" s="278"/>
      <c r="AF24" s="278"/>
      <c r="AG24" s="277"/>
    </row>
    <row r="25" spans="2:33" s="276" customFormat="1" ht="12" customHeight="1" outlineLevel="1" x14ac:dyDescent="0.25">
      <c r="B25" s="128" t="s">
        <v>314</v>
      </c>
      <c r="C25" s="128">
        <v>54562</v>
      </c>
      <c r="D25" s="476">
        <v>170</v>
      </c>
      <c r="E25" s="305">
        <v>8986000</v>
      </c>
      <c r="F25" s="387">
        <f t="shared" ref="F25" si="36">(G25/E25)-1</f>
        <v>0.11473403071444466</v>
      </c>
      <c r="G25" s="305">
        <v>10017000</v>
      </c>
      <c r="H25" s="321">
        <v>0.04</v>
      </c>
      <c r="I25" s="292">
        <f t="shared" ref="I25" si="37">+(G25*H25)+G25</f>
        <v>10417680</v>
      </c>
      <c r="J25" s="321">
        <v>0.06</v>
      </c>
      <c r="K25" s="292">
        <f t="shared" ref="K25" si="38">+(G25*J25)+G25</f>
        <v>10618020</v>
      </c>
      <c r="L25" s="398">
        <v>18</v>
      </c>
      <c r="M25" s="404">
        <f t="shared" si="1"/>
        <v>180306000</v>
      </c>
      <c r="N25" s="398">
        <v>22</v>
      </c>
      <c r="O25" s="402">
        <f t="shared" si="2"/>
        <v>220374000</v>
      </c>
      <c r="P25" s="397">
        <f t="shared" si="28"/>
        <v>400680000</v>
      </c>
      <c r="Q25" s="402">
        <f t="shared" si="29"/>
        <v>161748000</v>
      </c>
      <c r="R25" s="397">
        <f t="shared" si="30"/>
        <v>178699190.40000001</v>
      </c>
      <c r="S25" s="401">
        <f t="shared" si="31"/>
        <v>1606809.599999994</v>
      </c>
      <c r="T25" s="402">
        <f t="shared" si="32"/>
        <v>197692000</v>
      </c>
      <c r="U25" s="402">
        <f t="shared" si="33"/>
        <v>218410121.59999999</v>
      </c>
      <c r="V25" s="397">
        <f t="shared" si="34"/>
        <v>1963878.400000006</v>
      </c>
      <c r="W25" s="397">
        <f>S25+V25</f>
        <v>3570688</v>
      </c>
      <c r="Y25" s="277"/>
      <c r="AA25" s="277"/>
      <c r="AB25" s="278"/>
      <c r="AC25" s="278"/>
      <c r="AD25" s="278"/>
      <c r="AE25" s="278"/>
      <c r="AF25" s="278"/>
      <c r="AG25" s="277"/>
    </row>
    <row r="26" spans="2:33" s="276" customFormat="1" ht="12" customHeight="1" outlineLevel="1" x14ac:dyDescent="0.25">
      <c r="B26" s="128" t="s">
        <v>146</v>
      </c>
      <c r="C26" s="128">
        <v>54562</v>
      </c>
      <c r="D26" s="477"/>
      <c r="E26" s="305">
        <v>8986000</v>
      </c>
      <c r="F26" s="387">
        <f t="shared" si="6"/>
        <v>0.10471845092365895</v>
      </c>
      <c r="G26" s="305">
        <v>9927000</v>
      </c>
      <c r="H26" s="321">
        <v>0.04</v>
      </c>
      <c r="I26" s="292">
        <f t="shared" si="17"/>
        <v>10324080</v>
      </c>
      <c r="J26" s="321">
        <v>0.06</v>
      </c>
      <c r="K26" s="292">
        <f t="shared" si="9"/>
        <v>10522620</v>
      </c>
      <c r="L26" s="398">
        <v>134</v>
      </c>
      <c r="M26" s="404">
        <f t="shared" si="1"/>
        <v>1330218000</v>
      </c>
      <c r="N26" s="398">
        <v>134</v>
      </c>
      <c r="O26" s="402">
        <f t="shared" si="2"/>
        <v>1330218000</v>
      </c>
      <c r="P26" s="397">
        <f t="shared" si="28"/>
        <v>2660436000</v>
      </c>
      <c r="Q26" s="402">
        <f t="shared" si="29"/>
        <v>1204124000</v>
      </c>
      <c r="R26" s="397">
        <f t="shared" si="30"/>
        <v>1330316195.2</v>
      </c>
      <c r="S26" s="401">
        <f t="shared" si="31"/>
        <v>-98195.200000047684</v>
      </c>
      <c r="T26" s="402">
        <f t="shared" si="32"/>
        <v>1204124000</v>
      </c>
      <c r="U26" s="402">
        <f t="shared" si="33"/>
        <v>1330316195.2</v>
      </c>
      <c r="V26" s="397">
        <f t="shared" si="34"/>
        <v>-98195.200000047684</v>
      </c>
      <c r="W26" s="397">
        <f t="shared" si="35"/>
        <v>-196390.40000009537</v>
      </c>
      <c r="Y26" s="277"/>
      <c r="AA26" s="277"/>
      <c r="AB26" s="278"/>
      <c r="AC26" s="278"/>
      <c r="AD26" s="278"/>
      <c r="AE26" s="278"/>
      <c r="AF26" s="278"/>
      <c r="AG26" s="277"/>
    </row>
    <row r="27" spans="2:33" s="276" customFormat="1" ht="12" customHeight="1" outlineLevel="1" x14ac:dyDescent="0.25">
      <c r="B27" s="128" t="s">
        <v>315</v>
      </c>
      <c r="C27" s="128">
        <v>108767</v>
      </c>
      <c r="D27" s="476">
        <v>149</v>
      </c>
      <c r="E27" s="305">
        <v>10948000</v>
      </c>
      <c r="F27" s="387">
        <f t="shared" ref="F27" si="39">(G27/E27)-1</f>
        <v>0.11472415052977714</v>
      </c>
      <c r="G27" s="305">
        <v>12204000</v>
      </c>
      <c r="H27" s="321">
        <v>0.04</v>
      </c>
      <c r="I27" s="292">
        <f t="shared" si="17"/>
        <v>12692160</v>
      </c>
      <c r="J27" s="321">
        <v>0.06</v>
      </c>
      <c r="K27" s="292">
        <f t="shared" si="9"/>
        <v>12936240</v>
      </c>
      <c r="L27" s="398">
        <v>25</v>
      </c>
      <c r="M27" s="404">
        <f t="shared" si="1"/>
        <v>305100000</v>
      </c>
      <c r="N27" s="398">
        <v>22</v>
      </c>
      <c r="O27" s="402">
        <f t="shared" si="2"/>
        <v>268488000</v>
      </c>
      <c r="P27" s="397">
        <f t="shared" si="28"/>
        <v>573588000</v>
      </c>
      <c r="Q27" s="402">
        <f t="shared" si="29"/>
        <v>273700000</v>
      </c>
      <c r="R27" s="397">
        <f t="shared" si="30"/>
        <v>302383760</v>
      </c>
      <c r="S27" s="401">
        <f t="shared" si="31"/>
        <v>2716240</v>
      </c>
      <c r="T27" s="402">
        <f t="shared" si="32"/>
        <v>240856000</v>
      </c>
      <c r="U27" s="402">
        <f t="shared" si="33"/>
        <v>266097708.80000001</v>
      </c>
      <c r="V27" s="397">
        <f t="shared" si="34"/>
        <v>2390291.1999999881</v>
      </c>
      <c r="W27" s="397">
        <f>S27+V27</f>
        <v>5106531.1999999881</v>
      </c>
      <c r="Y27" s="277"/>
      <c r="AA27" s="277"/>
      <c r="AB27" s="278"/>
      <c r="AC27" s="278"/>
      <c r="AD27" s="278"/>
      <c r="AE27" s="278"/>
      <c r="AF27" s="278"/>
      <c r="AG27" s="277"/>
    </row>
    <row r="28" spans="2:33" s="276" customFormat="1" ht="12" customHeight="1" outlineLevel="1" x14ac:dyDescent="0.25">
      <c r="B28" s="128" t="s">
        <v>254</v>
      </c>
      <c r="C28" s="128">
        <v>108767</v>
      </c>
      <c r="D28" s="477"/>
      <c r="E28" s="305">
        <v>10948000</v>
      </c>
      <c r="F28" s="387">
        <f t="shared" si="6"/>
        <v>0.10476799415418347</v>
      </c>
      <c r="G28" s="305">
        <v>12095000</v>
      </c>
      <c r="H28" s="321">
        <v>0.04</v>
      </c>
      <c r="I28" s="292">
        <f t="shared" ref="I28" si="40">+(G28*H28)+G28</f>
        <v>12578800</v>
      </c>
      <c r="J28" s="321">
        <v>0.06</v>
      </c>
      <c r="K28" s="292">
        <f t="shared" ref="K28" si="41">+(G28*J28)+G28</f>
        <v>12820700</v>
      </c>
      <c r="L28" s="398">
        <v>132</v>
      </c>
      <c r="M28" s="404">
        <f>+L28*G28</f>
        <v>1596540000</v>
      </c>
      <c r="N28" s="405">
        <v>140</v>
      </c>
      <c r="O28" s="269">
        <f t="shared" si="2"/>
        <v>1693300000</v>
      </c>
      <c r="P28" s="407">
        <f t="shared" si="28"/>
        <v>3289840000</v>
      </c>
      <c r="Q28" s="269">
        <f t="shared" si="29"/>
        <v>1445136000</v>
      </c>
      <c r="R28" s="407">
        <f t="shared" si="30"/>
        <v>1596586252.8</v>
      </c>
      <c r="S28" s="408">
        <f t="shared" si="31"/>
        <v>-46252.799999952316</v>
      </c>
      <c r="T28" s="269">
        <f t="shared" si="32"/>
        <v>1532720000</v>
      </c>
      <c r="U28" s="269">
        <f t="shared" si="33"/>
        <v>1693349056</v>
      </c>
      <c r="V28" s="407">
        <f t="shared" si="34"/>
        <v>-49056</v>
      </c>
      <c r="W28" s="407">
        <f t="shared" si="35"/>
        <v>-95308.799999952316</v>
      </c>
      <c r="Y28" s="277"/>
      <c r="AA28" s="277"/>
      <c r="AB28" s="278"/>
      <c r="AC28" s="278"/>
      <c r="AD28" s="278"/>
      <c r="AE28" s="278"/>
      <c r="AF28" s="278"/>
      <c r="AG28" s="277"/>
    </row>
    <row r="29" spans="2:33" s="141" customFormat="1" ht="13" outlineLevel="1" x14ac:dyDescent="0.3">
      <c r="B29" s="294" t="s">
        <v>93</v>
      </c>
      <c r="C29" s="294"/>
      <c r="D29" s="295"/>
      <c r="E29" s="63"/>
      <c r="F29" s="387"/>
      <c r="G29" s="63"/>
      <c r="H29" s="279"/>
      <c r="I29" s="279"/>
      <c r="J29" s="279"/>
      <c r="K29" s="296"/>
      <c r="L29" s="149"/>
      <c r="M29" s="297"/>
      <c r="N29" s="279"/>
      <c r="O29" s="279"/>
      <c r="P29" s="319"/>
      <c r="Q29" s="319"/>
      <c r="R29" s="319"/>
      <c r="S29" s="319"/>
      <c r="T29" s="319"/>
      <c r="U29" s="319"/>
      <c r="V29" s="319"/>
      <c r="W29" s="319"/>
      <c r="Y29" s="280"/>
      <c r="AA29" s="280"/>
      <c r="AB29" s="281"/>
      <c r="AC29" s="281"/>
      <c r="AD29" s="281"/>
      <c r="AE29" s="281"/>
      <c r="AF29" s="281"/>
      <c r="AG29" s="280"/>
    </row>
    <row r="30" spans="2:33" s="276" customFormat="1" ht="11.5" outlineLevel="1" x14ac:dyDescent="0.25">
      <c r="B30" s="128" t="s">
        <v>170</v>
      </c>
      <c r="C30" s="128">
        <v>1041</v>
      </c>
      <c r="D30" s="129">
        <v>162</v>
      </c>
      <c r="E30" s="305">
        <v>7473000</v>
      </c>
      <c r="F30" s="387">
        <f t="shared" ref="F30:F45" si="42">(G30/E30)-1</f>
        <v>0.10477719791248497</v>
      </c>
      <c r="G30" s="305">
        <v>8256000</v>
      </c>
      <c r="H30" s="321">
        <v>0.04</v>
      </c>
      <c r="I30" s="292">
        <f t="shared" ref="I30:I45" si="43">+(G30*H30)+G30</f>
        <v>8586240</v>
      </c>
      <c r="J30" s="321">
        <v>0.06</v>
      </c>
      <c r="K30" s="292">
        <f t="shared" ref="K30:K45" si="44">+(G30*J30)+G30</f>
        <v>8751360</v>
      </c>
      <c r="L30" s="398">
        <v>3</v>
      </c>
      <c r="M30" s="420">
        <f t="shared" ref="M30:M31" si="45">+L30*G30</f>
        <v>24768000</v>
      </c>
      <c r="N30" s="398">
        <v>0</v>
      </c>
      <c r="O30" s="400">
        <v>0</v>
      </c>
      <c r="P30" s="397">
        <f t="shared" ref="P30:P45" si="46">+M30+O30</f>
        <v>24768000</v>
      </c>
      <c r="Q30" s="397">
        <f t="shared" ref="Q30:Q45" si="47">M30/(1+F30)</f>
        <v>22419000</v>
      </c>
      <c r="R30" s="397">
        <f t="shared" ref="R30:R45" si="48">($Q30*$R$10)+$Q30</f>
        <v>24768511.199999999</v>
      </c>
      <c r="S30" s="397">
        <f t="shared" ref="S30:S45" si="49">M30-R30</f>
        <v>-511.19999999925494</v>
      </c>
      <c r="T30" s="397">
        <f t="shared" ref="T30:T45" si="50">O30/(1+F30)</f>
        <v>0</v>
      </c>
      <c r="U30" s="397">
        <f t="shared" ref="U30:U72" si="51">($T30*$U$10)+$T30</f>
        <v>0</v>
      </c>
      <c r="V30" s="397">
        <f t="shared" ref="V30:V33" si="52">O30-U30</f>
        <v>0</v>
      </c>
      <c r="W30" s="397">
        <f t="shared" ref="W30:W31" si="53">S30+V30</f>
        <v>-511.19999999925494</v>
      </c>
      <c r="Y30" s="277"/>
      <c r="AA30" s="277"/>
      <c r="AB30" s="278"/>
      <c r="AC30" s="278"/>
      <c r="AD30" s="278"/>
      <c r="AE30" s="278"/>
      <c r="AF30" s="278"/>
      <c r="AG30" s="277"/>
    </row>
    <row r="31" spans="2:33" s="276" customFormat="1" ht="11.5" outlineLevel="1" x14ac:dyDescent="0.25">
      <c r="B31" s="128" t="s">
        <v>296</v>
      </c>
      <c r="C31" s="128">
        <v>1041</v>
      </c>
      <c r="D31" s="129">
        <v>160</v>
      </c>
      <c r="E31" s="305">
        <v>7473000</v>
      </c>
      <c r="F31" s="387">
        <f t="shared" si="42"/>
        <v>0.10477719791248497</v>
      </c>
      <c r="G31" s="305">
        <v>8256000</v>
      </c>
      <c r="H31" s="321">
        <v>0.04</v>
      </c>
      <c r="I31" s="292">
        <f t="shared" si="43"/>
        <v>8586240</v>
      </c>
      <c r="J31" s="321">
        <v>0.06</v>
      </c>
      <c r="K31" s="292">
        <f t="shared" si="44"/>
        <v>8751360</v>
      </c>
      <c r="L31" s="398">
        <v>26</v>
      </c>
      <c r="M31" s="420">
        <f t="shared" si="45"/>
        <v>214656000</v>
      </c>
      <c r="N31" s="398">
        <v>14</v>
      </c>
      <c r="O31" s="420">
        <f>+N31*G31</f>
        <v>115584000</v>
      </c>
      <c r="P31" s="397">
        <f t="shared" si="46"/>
        <v>330240000</v>
      </c>
      <c r="Q31" s="397">
        <f t="shared" si="47"/>
        <v>194298000</v>
      </c>
      <c r="R31" s="397">
        <f t="shared" si="48"/>
        <v>214660430.40000001</v>
      </c>
      <c r="S31" s="397">
        <f t="shared" si="49"/>
        <v>-4430.4000000059605</v>
      </c>
      <c r="T31" s="397">
        <f t="shared" si="50"/>
        <v>104622000</v>
      </c>
      <c r="U31" s="397">
        <f t="shared" si="51"/>
        <v>115586385.59999999</v>
      </c>
      <c r="V31" s="397">
        <f t="shared" si="52"/>
        <v>-2385.5999999940395</v>
      </c>
      <c r="W31" s="397">
        <f t="shared" si="53"/>
        <v>-6816</v>
      </c>
      <c r="Y31" s="277"/>
      <c r="AA31" s="277"/>
      <c r="AB31" s="278"/>
      <c r="AC31" s="278"/>
      <c r="AD31" s="278"/>
      <c r="AE31" s="278"/>
      <c r="AF31" s="278"/>
      <c r="AG31" s="277"/>
    </row>
    <row r="32" spans="2:33" s="276" customFormat="1" ht="15" customHeight="1" outlineLevel="1" x14ac:dyDescent="0.25">
      <c r="B32" s="128" t="s">
        <v>316</v>
      </c>
      <c r="C32" s="128">
        <v>1040</v>
      </c>
      <c r="D32" s="476">
        <v>144</v>
      </c>
      <c r="E32" s="305">
        <v>10721000</v>
      </c>
      <c r="F32" s="387">
        <f t="shared" ref="F32" si="54">(G32/E32)-1</f>
        <v>0.11472810372166786</v>
      </c>
      <c r="G32" s="305">
        <v>11951000</v>
      </c>
      <c r="H32" s="321">
        <v>0.04</v>
      </c>
      <c r="I32" s="292">
        <f t="shared" ref="I32" si="55">+(G32*H32)+G32</f>
        <v>12429040</v>
      </c>
      <c r="J32" s="321">
        <v>0.06</v>
      </c>
      <c r="K32" s="292">
        <f t="shared" ref="K32" si="56">+(G32*J32)+G32</f>
        <v>12668060</v>
      </c>
      <c r="L32" s="398">
        <v>56</v>
      </c>
      <c r="M32" s="404">
        <f t="shared" ref="M32:M45" si="57">+L32*G32</f>
        <v>669256000</v>
      </c>
      <c r="N32" s="398">
        <v>54</v>
      </c>
      <c r="O32" s="402">
        <f t="shared" ref="O32:O45" si="58">+N32*G32</f>
        <v>645354000</v>
      </c>
      <c r="P32" s="397">
        <f t="shared" si="46"/>
        <v>1314610000</v>
      </c>
      <c r="Q32" s="397">
        <f t="shared" si="47"/>
        <v>600376000</v>
      </c>
      <c r="R32" s="397">
        <f t="shared" si="48"/>
        <v>663295404.79999995</v>
      </c>
      <c r="S32" s="397">
        <f t="shared" si="49"/>
        <v>5960595.2000000477</v>
      </c>
      <c r="T32" s="397">
        <f t="shared" si="50"/>
        <v>578934000</v>
      </c>
      <c r="U32" s="402">
        <f t="shared" si="51"/>
        <v>639606283.20000005</v>
      </c>
      <c r="V32" s="397">
        <f t="shared" si="52"/>
        <v>5747716.7999999523</v>
      </c>
      <c r="W32" s="397">
        <f>S32+V32</f>
        <v>11708312</v>
      </c>
      <c r="Y32" s="277"/>
      <c r="AA32" s="277"/>
      <c r="AB32" s="278"/>
      <c r="AC32" s="278"/>
      <c r="AD32" s="278"/>
      <c r="AE32" s="278"/>
      <c r="AF32" s="278"/>
      <c r="AG32" s="277"/>
    </row>
    <row r="33" spans="2:33" s="276" customFormat="1" ht="11.5" outlineLevel="1" x14ac:dyDescent="0.25">
      <c r="B33" s="128" t="s">
        <v>288</v>
      </c>
      <c r="C33" s="128">
        <v>1040</v>
      </c>
      <c r="D33" s="485"/>
      <c r="E33" s="305">
        <v>10721000</v>
      </c>
      <c r="F33" s="387">
        <f t="shared" si="42"/>
        <v>0.10474769144669338</v>
      </c>
      <c r="G33" s="305">
        <v>11844000</v>
      </c>
      <c r="H33" s="321">
        <v>0.04</v>
      </c>
      <c r="I33" s="292">
        <f t="shared" si="43"/>
        <v>12317760</v>
      </c>
      <c r="J33" s="321">
        <v>0.06</v>
      </c>
      <c r="K33" s="292">
        <f t="shared" si="44"/>
        <v>12554640</v>
      </c>
      <c r="L33" s="398">
        <v>303</v>
      </c>
      <c r="M33" s="404">
        <f t="shared" si="57"/>
        <v>3588732000</v>
      </c>
      <c r="N33" s="398">
        <v>302</v>
      </c>
      <c r="O33" s="269">
        <f>+N33*G33</f>
        <v>3576888000</v>
      </c>
      <c r="P33" s="397">
        <f t="shared" si="46"/>
        <v>7165620000</v>
      </c>
      <c r="Q33" s="397">
        <f t="shared" si="47"/>
        <v>3248463000</v>
      </c>
      <c r="R33" s="397">
        <f t="shared" si="48"/>
        <v>3588901922.4000001</v>
      </c>
      <c r="S33" s="397">
        <f t="shared" si="49"/>
        <v>-169922.40000009537</v>
      </c>
      <c r="T33" s="397">
        <f t="shared" si="50"/>
        <v>3237742000</v>
      </c>
      <c r="U33" s="269">
        <f t="shared" si="51"/>
        <v>3577057361.5999999</v>
      </c>
      <c r="V33" s="407">
        <f t="shared" si="52"/>
        <v>-169361.59999990463</v>
      </c>
      <c r="W33" s="397">
        <f t="shared" ref="W33" si="59">S33+V33</f>
        <v>-339284</v>
      </c>
      <c r="Y33" s="277"/>
      <c r="AA33" s="277"/>
      <c r="AB33" s="278"/>
      <c r="AC33" s="278"/>
      <c r="AD33" s="278"/>
      <c r="AE33" s="278"/>
      <c r="AF33" s="278"/>
      <c r="AG33" s="277"/>
    </row>
    <row r="34" spans="2:33" s="276" customFormat="1" ht="15" customHeight="1" outlineLevel="1" x14ac:dyDescent="0.25">
      <c r="B34" s="128" t="s">
        <v>317</v>
      </c>
      <c r="C34" s="128">
        <v>1040</v>
      </c>
      <c r="D34" s="480">
        <v>144</v>
      </c>
      <c r="E34" s="305">
        <v>8216000</v>
      </c>
      <c r="F34" s="387">
        <f t="shared" ref="F34" si="60">(G34/E34)-1</f>
        <v>0.11477604673807207</v>
      </c>
      <c r="G34" s="305">
        <v>9159000</v>
      </c>
      <c r="H34" s="321">
        <v>0.04</v>
      </c>
      <c r="I34" s="292">
        <f t="shared" si="43"/>
        <v>9525360</v>
      </c>
      <c r="J34" s="321">
        <v>0.06</v>
      </c>
      <c r="K34" s="292">
        <f t="shared" si="44"/>
        <v>9708540</v>
      </c>
      <c r="L34" s="398">
        <v>12</v>
      </c>
      <c r="M34" s="404">
        <f t="shared" si="57"/>
        <v>109908000</v>
      </c>
      <c r="N34" s="398">
        <v>12</v>
      </c>
      <c r="O34" s="402">
        <f t="shared" si="58"/>
        <v>109908000</v>
      </c>
      <c r="P34" s="397">
        <f t="shared" si="46"/>
        <v>219816000</v>
      </c>
      <c r="Q34" s="397">
        <f t="shared" si="47"/>
        <v>98592000</v>
      </c>
      <c r="R34" s="397">
        <f t="shared" si="48"/>
        <v>108924441.59999999</v>
      </c>
      <c r="S34" s="397">
        <f t="shared" si="49"/>
        <v>983558.40000000596</v>
      </c>
      <c r="T34" s="397">
        <f t="shared" si="50"/>
        <v>98592000</v>
      </c>
      <c r="U34" s="402">
        <f t="shared" si="51"/>
        <v>108924441.59999999</v>
      </c>
      <c r="V34" s="397">
        <f t="shared" ref="V34:V45" si="61">O34-U34</f>
        <v>983558.40000000596</v>
      </c>
      <c r="W34" s="397">
        <f>S34+V34</f>
        <v>1967116.8000000119</v>
      </c>
      <c r="Y34" s="277"/>
      <c r="AA34" s="277"/>
      <c r="AB34" s="278"/>
      <c r="AC34" s="278"/>
      <c r="AD34" s="278"/>
      <c r="AE34" s="278"/>
      <c r="AF34" s="278"/>
      <c r="AG34" s="277"/>
    </row>
    <row r="35" spans="2:33" s="276" customFormat="1" ht="11.5" outlineLevel="1" x14ac:dyDescent="0.25">
      <c r="B35" s="128" t="s">
        <v>289</v>
      </c>
      <c r="C35" s="128">
        <v>1040</v>
      </c>
      <c r="D35" s="481"/>
      <c r="E35" s="305">
        <v>8216000</v>
      </c>
      <c r="F35" s="387">
        <f t="shared" si="42"/>
        <v>0.10479552093476152</v>
      </c>
      <c r="G35" s="305">
        <v>9077000</v>
      </c>
      <c r="H35" s="321">
        <v>0.04</v>
      </c>
      <c r="I35" s="292">
        <f t="shared" ref="I35" si="62">+(G35*H35)+G35</f>
        <v>9440080</v>
      </c>
      <c r="J35" s="321">
        <v>0.06</v>
      </c>
      <c r="K35" s="292">
        <f t="shared" ref="K35" si="63">+(G35*J35)+G35</f>
        <v>9621620</v>
      </c>
      <c r="L35" s="398">
        <v>108</v>
      </c>
      <c r="M35" s="404">
        <f t="shared" si="57"/>
        <v>980316000</v>
      </c>
      <c r="N35" s="398">
        <v>105</v>
      </c>
      <c r="O35" s="269">
        <f t="shared" si="58"/>
        <v>953085000</v>
      </c>
      <c r="P35" s="397">
        <f t="shared" si="46"/>
        <v>1933401000</v>
      </c>
      <c r="Q35" s="397">
        <f t="shared" si="47"/>
        <v>887327999.99999988</v>
      </c>
      <c r="R35" s="397">
        <f t="shared" si="48"/>
        <v>980319974.39999986</v>
      </c>
      <c r="S35" s="397">
        <f t="shared" si="49"/>
        <v>-3974.3999998569489</v>
      </c>
      <c r="T35" s="397">
        <f t="shared" si="50"/>
        <v>862679999.99999988</v>
      </c>
      <c r="U35" s="269">
        <f t="shared" si="51"/>
        <v>953088863.99999988</v>
      </c>
      <c r="V35" s="407">
        <f t="shared" si="61"/>
        <v>-3863.9999998807907</v>
      </c>
      <c r="W35" s="407">
        <f t="shared" ref="W35" si="64">S35+V35</f>
        <v>-7838.3999997377396</v>
      </c>
      <c r="Y35" s="277"/>
      <c r="AA35" s="277"/>
      <c r="AB35" s="278"/>
      <c r="AC35" s="278"/>
      <c r="AD35" s="278"/>
      <c r="AE35" s="278"/>
      <c r="AF35" s="278"/>
      <c r="AG35" s="277"/>
    </row>
    <row r="36" spans="2:33" s="276" customFormat="1" ht="15" customHeight="1" outlineLevel="1" x14ac:dyDescent="0.25">
      <c r="B36" s="128" t="s">
        <v>318</v>
      </c>
      <c r="C36" s="128">
        <v>10233</v>
      </c>
      <c r="D36" s="480">
        <v>144</v>
      </c>
      <c r="E36" s="305">
        <v>10515000</v>
      </c>
      <c r="F36" s="387">
        <f t="shared" ref="F36" si="65">(G36/E36)-1</f>
        <v>0.11478839752734182</v>
      </c>
      <c r="G36" s="305">
        <v>11722000</v>
      </c>
      <c r="H36" s="321">
        <v>0.04</v>
      </c>
      <c r="I36" s="292">
        <f>+(G36*H36)+G36</f>
        <v>12190880</v>
      </c>
      <c r="J36" s="321">
        <v>0.06</v>
      </c>
      <c r="K36" s="292">
        <f>+(G36*J36)+G36</f>
        <v>12425320</v>
      </c>
      <c r="L36" s="398">
        <v>14</v>
      </c>
      <c r="M36" s="404">
        <f t="shared" si="57"/>
        <v>164108000</v>
      </c>
      <c r="N36" s="398">
        <v>13</v>
      </c>
      <c r="O36" s="402">
        <f t="shared" si="58"/>
        <v>152386000</v>
      </c>
      <c r="P36" s="397">
        <f t="shared" si="46"/>
        <v>316494000</v>
      </c>
      <c r="Q36" s="397">
        <f t="shared" si="47"/>
        <v>147210000</v>
      </c>
      <c r="R36" s="397">
        <f t="shared" si="48"/>
        <v>162637608</v>
      </c>
      <c r="S36" s="397">
        <f t="shared" si="49"/>
        <v>1470392</v>
      </c>
      <c r="T36" s="397">
        <f t="shared" si="50"/>
        <v>136695000</v>
      </c>
      <c r="U36" s="402">
        <f t="shared" si="51"/>
        <v>151020636</v>
      </c>
      <c r="V36" s="397">
        <f t="shared" si="61"/>
        <v>1365364</v>
      </c>
      <c r="W36" s="397">
        <f>S36+V36</f>
        <v>2835756</v>
      </c>
      <c r="Y36" s="277"/>
      <c r="AA36" s="277"/>
      <c r="AB36" s="278"/>
      <c r="AC36" s="278"/>
      <c r="AD36" s="278"/>
      <c r="AE36" s="278"/>
      <c r="AF36" s="278"/>
      <c r="AG36" s="277"/>
    </row>
    <row r="37" spans="2:33" s="276" customFormat="1" ht="11.5" outlineLevel="1" x14ac:dyDescent="0.25">
      <c r="B37" s="128" t="s">
        <v>290</v>
      </c>
      <c r="C37" s="128">
        <v>10233</v>
      </c>
      <c r="D37" s="481"/>
      <c r="E37" s="305">
        <v>10515000</v>
      </c>
      <c r="F37" s="387">
        <f t="shared" si="42"/>
        <v>0.10470756062767483</v>
      </c>
      <c r="G37" s="305">
        <v>11616000</v>
      </c>
      <c r="H37" s="321">
        <v>0.04</v>
      </c>
      <c r="I37" s="292">
        <f>+(G37*H37)+G37</f>
        <v>12080640</v>
      </c>
      <c r="J37" s="321">
        <v>0.06</v>
      </c>
      <c r="K37" s="292">
        <f>+(G37*J37)+G37</f>
        <v>12312960</v>
      </c>
      <c r="L37" s="398">
        <v>58</v>
      </c>
      <c r="M37" s="404">
        <f t="shared" si="57"/>
        <v>673728000</v>
      </c>
      <c r="N37" s="398">
        <v>58</v>
      </c>
      <c r="O37" s="269">
        <f t="shared" si="58"/>
        <v>673728000</v>
      </c>
      <c r="P37" s="397">
        <f t="shared" si="46"/>
        <v>1347456000</v>
      </c>
      <c r="Q37" s="397">
        <f t="shared" si="47"/>
        <v>609870000</v>
      </c>
      <c r="R37" s="397">
        <f t="shared" si="48"/>
        <v>673784376</v>
      </c>
      <c r="S37" s="397">
        <f t="shared" si="49"/>
        <v>-56376</v>
      </c>
      <c r="T37" s="397">
        <f t="shared" si="50"/>
        <v>609870000</v>
      </c>
      <c r="U37" s="269">
        <f t="shared" si="51"/>
        <v>673784376</v>
      </c>
      <c r="V37" s="407">
        <f t="shared" si="61"/>
        <v>-56376</v>
      </c>
      <c r="W37" s="407">
        <f t="shared" ref="W37" si="66">S37+V37</f>
        <v>-112752</v>
      </c>
      <c r="Y37" s="277"/>
      <c r="AA37" s="277"/>
      <c r="AB37" s="278"/>
      <c r="AC37" s="278"/>
      <c r="AD37" s="278"/>
      <c r="AE37" s="278"/>
      <c r="AF37" s="278"/>
      <c r="AG37" s="277"/>
    </row>
    <row r="38" spans="2:33" s="276" customFormat="1" ht="15" customHeight="1" outlineLevel="1" x14ac:dyDescent="0.25">
      <c r="B38" s="128" t="s">
        <v>319</v>
      </c>
      <c r="C38" s="128">
        <v>101827</v>
      </c>
      <c r="D38" s="476">
        <v>144</v>
      </c>
      <c r="E38" s="305">
        <v>12554000</v>
      </c>
      <c r="F38" s="387">
        <f t="shared" ref="F38" si="67">(G38/E38)-1</f>
        <v>0.11478413254739528</v>
      </c>
      <c r="G38" s="305">
        <v>13995000</v>
      </c>
      <c r="H38" s="321">
        <v>0.04</v>
      </c>
      <c r="I38" s="292">
        <f t="shared" ref="I38" si="68">+(G38*H38)+G38</f>
        <v>14554800</v>
      </c>
      <c r="J38" s="321">
        <v>0.06</v>
      </c>
      <c r="K38" s="292">
        <f t="shared" ref="K38" si="69">+(G38*J38)+G38</f>
        <v>14834700</v>
      </c>
      <c r="L38" s="398">
        <v>65</v>
      </c>
      <c r="M38" s="404">
        <f t="shared" si="57"/>
        <v>909675000</v>
      </c>
      <c r="N38" s="398">
        <v>70</v>
      </c>
      <c r="O38" s="402">
        <f t="shared" si="58"/>
        <v>979650000</v>
      </c>
      <c r="P38" s="397">
        <f t="shared" si="46"/>
        <v>1889325000</v>
      </c>
      <c r="Q38" s="397">
        <f t="shared" si="47"/>
        <v>816010000</v>
      </c>
      <c r="R38" s="397">
        <f t="shared" si="48"/>
        <v>901527848</v>
      </c>
      <c r="S38" s="397">
        <f t="shared" si="49"/>
        <v>8147152</v>
      </c>
      <c r="T38" s="397">
        <f t="shared" si="50"/>
        <v>878780000</v>
      </c>
      <c r="U38" s="402">
        <f t="shared" si="51"/>
        <v>970876144</v>
      </c>
      <c r="V38" s="397">
        <f t="shared" si="61"/>
        <v>8773856</v>
      </c>
      <c r="W38" s="407">
        <f>S38+V38</f>
        <v>16921008</v>
      </c>
      <c r="Y38" s="277"/>
      <c r="AA38" s="277"/>
      <c r="AB38" s="278"/>
      <c r="AC38" s="278"/>
      <c r="AD38" s="278"/>
      <c r="AE38" s="278"/>
      <c r="AF38" s="278"/>
      <c r="AG38" s="277"/>
    </row>
    <row r="39" spans="2:33" s="276" customFormat="1" ht="11.5" outlineLevel="1" x14ac:dyDescent="0.25">
      <c r="B39" s="128" t="s">
        <v>291</v>
      </c>
      <c r="C39" s="128">
        <v>101827</v>
      </c>
      <c r="D39" s="485"/>
      <c r="E39" s="305">
        <v>12554000</v>
      </c>
      <c r="F39" s="387">
        <f t="shared" si="42"/>
        <v>0.10474749083957313</v>
      </c>
      <c r="G39" s="305">
        <v>13869000</v>
      </c>
      <c r="H39" s="321">
        <v>0.04</v>
      </c>
      <c r="I39" s="292">
        <f t="shared" si="43"/>
        <v>14423760</v>
      </c>
      <c r="J39" s="321">
        <v>0.06</v>
      </c>
      <c r="K39" s="292">
        <f t="shared" si="44"/>
        <v>14701140</v>
      </c>
      <c r="L39" s="398">
        <v>474</v>
      </c>
      <c r="M39" s="404">
        <f t="shared" si="57"/>
        <v>6573906000</v>
      </c>
      <c r="N39" s="398">
        <v>475</v>
      </c>
      <c r="O39" s="269">
        <f t="shared" si="58"/>
        <v>6587775000</v>
      </c>
      <c r="P39" s="397">
        <f t="shared" si="46"/>
        <v>13161681000</v>
      </c>
      <c r="Q39" s="397">
        <f t="shared" si="47"/>
        <v>5950596000</v>
      </c>
      <c r="R39" s="397">
        <f t="shared" si="48"/>
        <v>6574218460.8000002</v>
      </c>
      <c r="S39" s="397">
        <f t="shared" si="49"/>
        <v>-312460.80000019073</v>
      </c>
      <c r="T39" s="397">
        <f t="shared" si="50"/>
        <v>5963150000</v>
      </c>
      <c r="U39" s="269">
        <f t="shared" si="51"/>
        <v>6588088120</v>
      </c>
      <c r="V39" s="407">
        <f t="shared" si="61"/>
        <v>-313120</v>
      </c>
      <c r="W39" s="407">
        <f t="shared" ref="W39:W44" si="70">S39+V39</f>
        <v>-625580.80000019073</v>
      </c>
      <c r="Y39" s="277"/>
      <c r="AA39" s="277"/>
      <c r="AB39" s="278"/>
      <c r="AC39" s="278"/>
      <c r="AD39" s="278"/>
      <c r="AE39" s="278"/>
      <c r="AF39" s="278"/>
      <c r="AG39" s="277"/>
    </row>
    <row r="40" spans="2:33" s="276" customFormat="1" ht="15" customHeight="1" outlineLevel="1" x14ac:dyDescent="0.25">
      <c r="B40" s="128" t="s">
        <v>320</v>
      </c>
      <c r="C40" s="128">
        <v>107941</v>
      </c>
      <c r="D40" s="476">
        <v>144</v>
      </c>
      <c r="E40" s="305">
        <v>10721000</v>
      </c>
      <c r="F40" s="387">
        <f t="shared" ref="F40" si="71">(G40/E40)-1</f>
        <v>0.11472810372166786</v>
      </c>
      <c r="G40" s="305">
        <v>11951000</v>
      </c>
      <c r="H40" s="321">
        <v>0.04</v>
      </c>
      <c r="I40" s="292">
        <f t="shared" ref="I40" si="72">+(G40*H40)+G40</f>
        <v>12429040</v>
      </c>
      <c r="J40" s="321">
        <v>0.06</v>
      </c>
      <c r="K40" s="292">
        <f t="shared" ref="K40" si="73">+(G40*J40)+G40</f>
        <v>12668060</v>
      </c>
      <c r="L40" s="398">
        <v>17</v>
      </c>
      <c r="M40" s="404">
        <f t="shared" si="57"/>
        <v>203167000</v>
      </c>
      <c r="N40" s="398">
        <v>19</v>
      </c>
      <c r="O40" s="402">
        <f t="shared" si="58"/>
        <v>227069000</v>
      </c>
      <c r="P40" s="397">
        <f t="shared" si="46"/>
        <v>430236000</v>
      </c>
      <c r="Q40" s="397">
        <f t="shared" si="47"/>
        <v>182256999.99999997</v>
      </c>
      <c r="R40" s="397">
        <f t="shared" si="48"/>
        <v>201357533.59999996</v>
      </c>
      <c r="S40" s="397">
        <f t="shared" si="49"/>
        <v>1809466.4000000358</v>
      </c>
      <c r="T40" s="397">
        <f t="shared" si="50"/>
        <v>203698999.99999997</v>
      </c>
      <c r="U40" s="402">
        <f t="shared" si="51"/>
        <v>225046655.19999996</v>
      </c>
      <c r="V40" s="397">
        <f t="shared" si="61"/>
        <v>2022344.8000000417</v>
      </c>
      <c r="W40" s="407">
        <f>S40+V40</f>
        <v>3831811.2000000775</v>
      </c>
      <c r="Y40" s="277"/>
      <c r="AA40" s="277"/>
      <c r="AB40" s="278"/>
      <c r="AC40" s="278"/>
      <c r="AD40" s="278"/>
      <c r="AE40" s="278"/>
      <c r="AF40" s="278"/>
      <c r="AG40" s="277"/>
    </row>
    <row r="41" spans="2:33" s="276" customFormat="1" ht="11.5" outlineLevel="1" x14ac:dyDescent="0.25">
      <c r="B41" s="128" t="s">
        <v>248</v>
      </c>
      <c r="C41" s="128">
        <v>107941</v>
      </c>
      <c r="D41" s="477"/>
      <c r="E41" s="305">
        <v>10721000</v>
      </c>
      <c r="F41" s="387">
        <f t="shared" si="42"/>
        <v>0.10474769144669338</v>
      </c>
      <c r="G41" s="305">
        <v>11844000</v>
      </c>
      <c r="H41" s="321">
        <v>0.04</v>
      </c>
      <c r="I41" s="292">
        <f t="shared" si="43"/>
        <v>12317760</v>
      </c>
      <c r="J41" s="321">
        <v>0.06</v>
      </c>
      <c r="K41" s="292">
        <f t="shared" si="44"/>
        <v>12554640</v>
      </c>
      <c r="L41" s="398">
        <v>82</v>
      </c>
      <c r="M41" s="404">
        <f t="shared" si="57"/>
        <v>971208000</v>
      </c>
      <c r="N41" s="398">
        <v>88</v>
      </c>
      <c r="O41" s="269">
        <f t="shared" si="58"/>
        <v>1042272000</v>
      </c>
      <c r="P41" s="397">
        <f t="shared" si="46"/>
        <v>2013480000</v>
      </c>
      <c r="Q41" s="397">
        <f t="shared" si="47"/>
        <v>879122000</v>
      </c>
      <c r="R41" s="397">
        <f t="shared" si="48"/>
        <v>971253985.60000002</v>
      </c>
      <c r="S41" s="397">
        <f t="shared" si="49"/>
        <v>-45985.600000023842</v>
      </c>
      <c r="T41" s="397">
        <f t="shared" si="50"/>
        <v>943448000</v>
      </c>
      <c r="U41" s="269">
        <f t="shared" si="51"/>
        <v>1042321350.4</v>
      </c>
      <c r="V41" s="407">
        <f t="shared" si="61"/>
        <v>-49350.399999976158</v>
      </c>
      <c r="W41" s="407">
        <f t="shared" si="70"/>
        <v>-95336</v>
      </c>
      <c r="Y41" s="277"/>
      <c r="AA41" s="277"/>
      <c r="AB41" s="278"/>
      <c r="AC41" s="278"/>
      <c r="AD41" s="278"/>
      <c r="AE41" s="278"/>
      <c r="AF41" s="278"/>
      <c r="AG41" s="277"/>
    </row>
    <row r="42" spans="2:33" s="276" customFormat="1" ht="15" customHeight="1" outlineLevel="1" x14ac:dyDescent="0.25">
      <c r="B42" s="128" t="s">
        <v>321</v>
      </c>
      <c r="C42" s="128">
        <v>108255</v>
      </c>
      <c r="D42" s="476">
        <v>146</v>
      </c>
      <c r="E42" s="305">
        <v>12554000</v>
      </c>
      <c r="F42" s="387">
        <f t="shared" ref="F42" si="74">(G42/E42)-1</f>
        <v>0.11478413254739528</v>
      </c>
      <c r="G42" s="305">
        <v>13995000</v>
      </c>
      <c r="H42" s="321">
        <v>0.04</v>
      </c>
      <c r="I42" s="292">
        <f t="shared" ref="I42" si="75">+(G42*H42)+G42</f>
        <v>14554800</v>
      </c>
      <c r="J42" s="321">
        <v>0.06</v>
      </c>
      <c r="K42" s="292">
        <f t="shared" ref="K42" si="76">+(G42*J42)+G42</f>
        <v>14834700</v>
      </c>
      <c r="L42" s="398">
        <v>35</v>
      </c>
      <c r="M42" s="404">
        <f t="shared" si="57"/>
        <v>489825000</v>
      </c>
      <c r="N42" s="398">
        <v>37</v>
      </c>
      <c r="O42" s="402">
        <f t="shared" si="58"/>
        <v>517815000</v>
      </c>
      <c r="P42" s="397">
        <f t="shared" si="46"/>
        <v>1007640000</v>
      </c>
      <c r="Q42" s="397">
        <f t="shared" si="47"/>
        <v>439390000</v>
      </c>
      <c r="R42" s="397">
        <f t="shared" si="48"/>
        <v>485438072</v>
      </c>
      <c r="S42" s="397">
        <f t="shared" si="49"/>
        <v>4386928</v>
      </c>
      <c r="T42" s="397">
        <f t="shared" si="50"/>
        <v>464498000</v>
      </c>
      <c r="U42" s="402">
        <f t="shared" si="51"/>
        <v>513177390.39999998</v>
      </c>
      <c r="V42" s="397">
        <f t="shared" si="61"/>
        <v>4637609.6000000238</v>
      </c>
      <c r="W42" s="407">
        <f t="shared" si="70"/>
        <v>9024537.6000000238</v>
      </c>
      <c r="Y42" s="277"/>
      <c r="AA42" s="277"/>
      <c r="AB42" s="278"/>
      <c r="AC42" s="278"/>
      <c r="AD42" s="278"/>
      <c r="AE42" s="278"/>
      <c r="AF42" s="278"/>
      <c r="AG42" s="277"/>
    </row>
    <row r="43" spans="2:33" s="276" customFormat="1" ht="11.5" outlineLevel="1" x14ac:dyDescent="0.25">
      <c r="B43" s="128" t="s">
        <v>249</v>
      </c>
      <c r="C43" s="128">
        <v>108255</v>
      </c>
      <c r="D43" s="477"/>
      <c r="E43" s="305">
        <v>12554000</v>
      </c>
      <c r="F43" s="387">
        <f t="shared" si="42"/>
        <v>0.10474749083957313</v>
      </c>
      <c r="G43" s="305">
        <v>13869000</v>
      </c>
      <c r="H43" s="321">
        <v>0.04</v>
      </c>
      <c r="I43" s="292">
        <f t="shared" si="43"/>
        <v>14423760</v>
      </c>
      <c r="J43" s="321">
        <v>0.06</v>
      </c>
      <c r="K43" s="292">
        <f t="shared" si="44"/>
        <v>14701140</v>
      </c>
      <c r="L43" s="398">
        <v>177</v>
      </c>
      <c r="M43" s="404">
        <f t="shared" si="57"/>
        <v>2454813000</v>
      </c>
      <c r="N43" s="398">
        <v>180</v>
      </c>
      <c r="O43" s="269">
        <f t="shared" si="58"/>
        <v>2496420000</v>
      </c>
      <c r="P43" s="397">
        <f t="shared" si="46"/>
        <v>4951233000</v>
      </c>
      <c r="Q43" s="397">
        <f t="shared" si="47"/>
        <v>2222058000</v>
      </c>
      <c r="R43" s="397">
        <f t="shared" si="48"/>
        <v>2454929678.4000001</v>
      </c>
      <c r="S43" s="397">
        <f t="shared" si="49"/>
        <v>-116678.40000009537</v>
      </c>
      <c r="T43" s="397">
        <f t="shared" si="50"/>
        <v>2259720000</v>
      </c>
      <c r="U43" s="269">
        <f t="shared" si="51"/>
        <v>2496538656</v>
      </c>
      <c r="V43" s="407">
        <f t="shared" si="61"/>
        <v>-118656</v>
      </c>
      <c r="W43" s="407">
        <f t="shared" si="70"/>
        <v>-235334.40000009537</v>
      </c>
      <c r="Y43" s="277"/>
      <c r="AA43" s="277"/>
      <c r="AB43" s="278"/>
      <c r="AC43" s="278"/>
      <c r="AD43" s="278"/>
      <c r="AE43" s="278"/>
      <c r="AF43" s="278"/>
      <c r="AG43" s="277"/>
    </row>
    <row r="44" spans="2:33" s="276" customFormat="1" ht="15" customHeight="1" outlineLevel="1" x14ac:dyDescent="0.25">
      <c r="B44" s="128" t="s">
        <v>322</v>
      </c>
      <c r="C44" s="128">
        <v>108837</v>
      </c>
      <c r="D44" s="476">
        <v>144</v>
      </c>
      <c r="E44" s="305">
        <v>10515000</v>
      </c>
      <c r="F44" s="387">
        <f t="shared" ref="F44" si="77">(G44/E44)-1</f>
        <v>0.11478839752734182</v>
      </c>
      <c r="G44" s="305">
        <v>11722000</v>
      </c>
      <c r="H44" s="321">
        <v>0.04</v>
      </c>
      <c r="I44" s="292">
        <f t="shared" ref="I44" si="78">+(G44*H44)+G44</f>
        <v>12190880</v>
      </c>
      <c r="J44" s="321">
        <v>0.06</v>
      </c>
      <c r="K44" s="292">
        <f t="shared" ref="K44" si="79">+(G44*J44)+G44</f>
        <v>12425320</v>
      </c>
      <c r="L44" s="398">
        <v>8</v>
      </c>
      <c r="M44" s="404">
        <f t="shared" si="57"/>
        <v>93776000</v>
      </c>
      <c r="N44" s="398">
        <v>8</v>
      </c>
      <c r="O44" s="402">
        <f t="shared" si="58"/>
        <v>93776000</v>
      </c>
      <c r="P44" s="397">
        <f t="shared" si="46"/>
        <v>187552000</v>
      </c>
      <c r="Q44" s="397">
        <f t="shared" si="47"/>
        <v>84120000</v>
      </c>
      <c r="R44" s="397">
        <f t="shared" si="48"/>
        <v>92935776</v>
      </c>
      <c r="S44" s="397">
        <f t="shared" si="49"/>
        <v>840224</v>
      </c>
      <c r="T44" s="397">
        <f t="shared" si="50"/>
        <v>84120000</v>
      </c>
      <c r="U44" s="402">
        <f t="shared" si="51"/>
        <v>92935776</v>
      </c>
      <c r="V44" s="397">
        <f t="shared" si="61"/>
        <v>840224</v>
      </c>
      <c r="W44" s="407">
        <f t="shared" si="70"/>
        <v>1680448</v>
      </c>
      <c r="Y44" s="277"/>
      <c r="AA44" s="277"/>
      <c r="AB44" s="278"/>
      <c r="AC44" s="278"/>
      <c r="AD44" s="278"/>
      <c r="AE44" s="278"/>
      <c r="AF44" s="278"/>
      <c r="AG44" s="277"/>
    </row>
    <row r="45" spans="2:33" s="276" customFormat="1" ht="11.5" outlineLevel="1" x14ac:dyDescent="0.25">
      <c r="B45" s="128" t="s">
        <v>255</v>
      </c>
      <c r="C45" s="128">
        <v>108837</v>
      </c>
      <c r="D45" s="477"/>
      <c r="E45" s="305">
        <v>10515000</v>
      </c>
      <c r="F45" s="387">
        <f t="shared" si="42"/>
        <v>0.10470756062767483</v>
      </c>
      <c r="G45" s="305">
        <v>11616000</v>
      </c>
      <c r="H45" s="321">
        <v>0.04</v>
      </c>
      <c r="I45" s="292">
        <f t="shared" si="43"/>
        <v>12080640</v>
      </c>
      <c r="J45" s="321">
        <v>0.06</v>
      </c>
      <c r="K45" s="292">
        <f t="shared" si="44"/>
        <v>12312960</v>
      </c>
      <c r="L45" s="398">
        <v>11</v>
      </c>
      <c r="M45" s="404">
        <f t="shared" si="57"/>
        <v>127776000</v>
      </c>
      <c r="N45" s="405">
        <v>18</v>
      </c>
      <c r="O45" s="269">
        <f t="shared" si="58"/>
        <v>209088000</v>
      </c>
      <c r="P45" s="407">
        <f t="shared" si="46"/>
        <v>336864000</v>
      </c>
      <c r="Q45" s="407">
        <f t="shared" si="47"/>
        <v>115664999.99999999</v>
      </c>
      <c r="R45" s="407">
        <f t="shared" si="48"/>
        <v>127786691.99999999</v>
      </c>
      <c r="S45" s="407">
        <f t="shared" si="49"/>
        <v>-10691.999999985099</v>
      </c>
      <c r="T45" s="397">
        <f t="shared" si="50"/>
        <v>189270000</v>
      </c>
      <c r="U45" s="269">
        <f t="shared" si="51"/>
        <v>209105496</v>
      </c>
      <c r="V45" s="407">
        <f t="shared" si="61"/>
        <v>-17496</v>
      </c>
      <c r="W45" s="407">
        <f t="shared" ref="W45" si="80">S45+V45</f>
        <v>-28187.999999985099</v>
      </c>
      <c r="X45" s="302"/>
      <c r="Y45" s="277"/>
      <c r="AA45" s="277"/>
      <c r="AB45" s="278"/>
      <c r="AC45" s="278"/>
      <c r="AD45" s="278"/>
      <c r="AE45" s="278"/>
      <c r="AF45" s="278"/>
      <c r="AG45" s="277"/>
    </row>
    <row r="46" spans="2:33" s="141" customFormat="1" ht="13" outlineLevel="1" x14ac:dyDescent="0.3">
      <c r="B46" s="62" t="s">
        <v>37</v>
      </c>
      <c r="C46" s="294"/>
      <c r="D46" s="295"/>
      <c r="E46" s="63"/>
      <c r="F46" s="387"/>
      <c r="G46" s="63"/>
      <c r="H46" s="298"/>
      <c r="I46" s="298"/>
      <c r="J46" s="298"/>
      <c r="K46" s="298"/>
      <c r="L46" s="298"/>
      <c r="M46" s="298"/>
      <c r="N46" s="298"/>
      <c r="O46" s="298"/>
      <c r="P46" s="275"/>
      <c r="Q46" s="275"/>
      <c r="R46" s="275"/>
      <c r="S46" s="275"/>
      <c r="T46" s="275"/>
      <c r="U46" s="275"/>
      <c r="V46" s="275"/>
      <c r="W46" s="275"/>
      <c r="Y46" s="280"/>
      <c r="AA46" s="280"/>
      <c r="AB46" s="281"/>
      <c r="AC46" s="281"/>
      <c r="AD46" s="281"/>
      <c r="AE46" s="281"/>
      <c r="AF46" s="281"/>
      <c r="AG46" s="280"/>
    </row>
    <row r="47" spans="2:33" s="276" customFormat="1" ht="11.5" outlineLevel="1" x14ac:dyDescent="0.25">
      <c r="B47" s="128" t="s">
        <v>328</v>
      </c>
      <c r="C47" s="128">
        <v>1039</v>
      </c>
      <c r="D47" s="484">
        <v>171</v>
      </c>
      <c r="E47" s="305">
        <v>9442000</v>
      </c>
      <c r="F47" s="387">
        <f t="shared" ref="F47:F55" si="81">(G47/E47)-1</f>
        <v>0.11470027536538874</v>
      </c>
      <c r="G47" s="305">
        <v>10525000</v>
      </c>
      <c r="H47" s="291">
        <v>0.04</v>
      </c>
      <c r="I47" s="292">
        <f t="shared" ref="I47:I53" si="82">+(G47*H47)+G47</f>
        <v>10946000</v>
      </c>
      <c r="J47" s="291">
        <v>0.06</v>
      </c>
      <c r="K47" s="292">
        <f t="shared" ref="K47:K53" si="83">+(G47*J47)+G47</f>
        <v>11156500</v>
      </c>
      <c r="L47" s="398">
        <v>50</v>
      </c>
      <c r="M47" s="404">
        <f t="shared" ref="M47:M56" si="84">+L47*G47</f>
        <v>526250000</v>
      </c>
      <c r="N47" s="398">
        <v>48</v>
      </c>
      <c r="O47" s="402">
        <f t="shared" ref="O47:O56" si="85">+N47*G47</f>
        <v>505200000</v>
      </c>
      <c r="P47" s="397">
        <f t="shared" ref="P47:P56" si="86">+M47+O47</f>
        <v>1031450000</v>
      </c>
      <c r="Q47" s="397">
        <f t="shared" ref="Q47:Q56" si="87">M47/(1+F47)</f>
        <v>472100000</v>
      </c>
      <c r="R47" s="397">
        <f t="shared" ref="R47:R56" si="88">($Q47*$R$10)+$Q47</f>
        <v>521576080</v>
      </c>
      <c r="S47" s="397">
        <f t="shared" ref="S47:S48" si="89">M47-R47</f>
        <v>4673920</v>
      </c>
      <c r="T47" s="397">
        <f t="shared" ref="T47:T56" si="90">O47/(1+F47)</f>
        <v>453216000</v>
      </c>
      <c r="U47" s="402">
        <f t="shared" si="51"/>
        <v>500713036.80000001</v>
      </c>
      <c r="V47" s="397">
        <f t="shared" ref="V47:V48" si="91">O47-U47</f>
        <v>4486963.1999999881</v>
      </c>
      <c r="W47" s="407">
        <f t="shared" ref="W47:W56" si="92">S47+V47</f>
        <v>9160883.1999999881</v>
      </c>
      <c r="Y47" s="277"/>
      <c r="AA47" s="277"/>
      <c r="AB47" s="278"/>
      <c r="AC47" s="278"/>
      <c r="AD47" s="278"/>
      <c r="AE47" s="278"/>
      <c r="AF47" s="278"/>
      <c r="AG47" s="277"/>
    </row>
    <row r="48" spans="2:33" s="276" customFormat="1" ht="11.5" outlineLevel="1" x14ac:dyDescent="0.25">
      <c r="B48" s="128" t="s">
        <v>292</v>
      </c>
      <c r="C48" s="128">
        <v>1039</v>
      </c>
      <c r="D48" s="484"/>
      <c r="E48" s="305">
        <v>9442000</v>
      </c>
      <c r="F48" s="387">
        <f t="shared" ref="F48" si="93">(G48/E48)-1</f>
        <v>0.10474475746663847</v>
      </c>
      <c r="G48" s="305">
        <v>10431000</v>
      </c>
      <c r="H48" s="291">
        <v>0.04</v>
      </c>
      <c r="I48" s="292">
        <f t="shared" ref="I48" si="94">+(G48*H48)+G48</f>
        <v>10848240</v>
      </c>
      <c r="J48" s="291">
        <v>0.06</v>
      </c>
      <c r="K48" s="292">
        <f t="shared" ref="K48" si="95">+(G48*J48)+G48</f>
        <v>11056860</v>
      </c>
      <c r="L48" s="398">
        <v>318</v>
      </c>
      <c r="M48" s="404">
        <f t="shared" si="84"/>
        <v>3317058000</v>
      </c>
      <c r="N48" s="398">
        <v>340</v>
      </c>
      <c r="O48" s="269">
        <f t="shared" si="85"/>
        <v>3546540000</v>
      </c>
      <c r="P48" s="397">
        <f t="shared" si="86"/>
        <v>6863598000</v>
      </c>
      <c r="Q48" s="397">
        <f t="shared" si="87"/>
        <v>3002556000</v>
      </c>
      <c r="R48" s="397">
        <f t="shared" si="88"/>
        <v>3317223868.8000002</v>
      </c>
      <c r="S48" s="397">
        <f t="shared" si="89"/>
        <v>-165868.80000019073</v>
      </c>
      <c r="T48" s="397">
        <f t="shared" si="90"/>
        <v>3210280000</v>
      </c>
      <c r="U48" s="269">
        <f t="shared" si="51"/>
        <v>3546717344</v>
      </c>
      <c r="V48" s="407">
        <f t="shared" si="91"/>
        <v>-177344</v>
      </c>
      <c r="W48" s="407">
        <f t="shared" si="92"/>
        <v>-343212.80000019073</v>
      </c>
      <c r="Y48" s="277"/>
      <c r="AA48" s="277"/>
      <c r="AB48" s="278"/>
      <c r="AC48" s="278"/>
      <c r="AD48" s="278"/>
      <c r="AE48" s="278"/>
      <c r="AF48" s="278"/>
      <c r="AG48" s="277"/>
    </row>
    <row r="49" spans="2:33" s="276" customFormat="1" ht="11.5" outlineLevel="1" x14ac:dyDescent="0.25">
      <c r="B49" s="128" t="s">
        <v>329</v>
      </c>
      <c r="C49" s="128">
        <v>10213</v>
      </c>
      <c r="D49" s="483">
        <v>192</v>
      </c>
      <c r="E49" s="305">
        <v>10945000</v>
      </c>
      <c r="F49" s="387">
        <f t="shared" si="81"/>
        <v>0.11475559616263142</v>
      </c>
      <c r="G49" s="305">
        <v>12201000</v>
      </c>
      <c r="H49" s="291">
        <v>0.04</v>
      </c>
      <c r="I49" s="292">
        <f t="shared" si="82"/>
        <v>12689040</v>
      </c>
      <c r="J49" s="291">
        <v>0.06</v>
      </c>
      <c r="K49" s="292">
        <f t="shared" si="83"/>
        <v>12933060</v>
      </c>
      <c r="L49" s="398">
        <v>42</v>
      </c>
      <c r="M49" s="404">
        <f t="shared" si="84"/>
        <v>512442000</v>
      </c>
      <c r="N49" s="398">
        <v>55</v>
      </c>
      <c r="O49" s="402">
        <f t="shared" si="85"/>
        <v>671055000</v>
      </c>
      <c r="P49" s="397">
        <f t="shared" si="86"/>
        <v>1183497000</v>
      </c>
      <c r="Q49" s="397">
        <f t="shared" si="87"/>
        <v>459689999.99999994</v>
      </c>
      <c r="R49" s="397">
        <f t="shared" si="88"/>
        <v>507865511.99999994</v>
      </c>
      <c r="S49" s="397">
        <f t="shared" ref="S49:S56" si="96">M49-R49</f>
        <v>4576488.0000000596</v>
      </c>
      <c r="T49" s="397">
        <f t="shared" si="90"/>
        <v>601975000</v>
      </c>
      <c r="U49" s="402">
        <f t="shared" si="51"/>
        <v>665061980</v>
      </c>
      <c r="V49" s="397">
        <f t="shared" ref="V49:V56" si="97">O49-U49</f>
        <v>5993020</v>
      </c>
      <c r="W49" s="407">
        <f t="shared" si="92"/>
        <v>10569508.00000006</v>
      </c>
      <c r="Y49" s="277"/>
      <c r="AA49" s="277"/>
      <c r="AB49" s="278"/>
      <c r="AC49" s="278"/>
      <c r="AD49" s="278"/>
      <c r="AE49" s="278"/>
      <c r="AF49" s="278"/>
      <c r="AG49" s="277"/>
    </row>
    <row r="50" spans="2:33" s="276" customFormat="1" ht="11.5" outlineLevel="1" x14ac:dyDescent="0.25">
      <c r="B50" s="128" t="s">
        <v>293</v>
      </c>
      <c r="C50" s="128">
        <v>10213</v>
      </c>
      <c r="D50" s="483"/>
      <c r="E50" s="305">
        <v>10945000</v>
      </c>
      <c r="F50" s="387">
        <f t="shared" si="81"/>
        <v>0.10479671082686148</v>
      </c>
      <c r="G50" s="305">
        <v>12092000</v>
      </c>
      <c r="H50" s="291">
        <v>0.04</v>
      </c>
      <c r="I50" s="292">
        <f t="shared" ref="I50" si="98">+(G50*H50)+G50</f>
        <v>12575680</v>
      </c>
      <c r="J50" s="291">
        <v>0.06</v>
      </c>
      <c r="K50" s="292">
        <f t="shared" ref="K50" si="99">+(G50*J50)+G50</f>
        <v>12817520</v>
      </c>
      <c r="L50" s="398">
        <v>465</v>
      </c>
      <c r="M50" s="404">
        <f t="shared" si="84"/>
        <v>5622780000</v>
      </c>
      <c r="N50" s="398">
        <v>464</v>
      </c>
      <c r="O50" s="269">
        <f t="shared" si="85"/>
        <v>5610688000</v>
      </c>
      <c r="P50" s="397">
        <f t="shared" si="86"/>
        <v>11233468000</v>
      </c>
      <c r="Q50" s="397">
        <f t="shared" si="87"/>
        <v>5089425000</v>
      </c>
      <c r="R50" s="397">
        <f t="shared" si="88"/>
        <v>5622796740</v>
      </c>
      <c r="S50" s="397">
        <f t="shared" si="96"/>
        <v>-16740</v>
      </c>
      <c r="T50" s="397">
        <f t="shared" si="90"/>
        <v>5078480000</v>
      </c>
      <c r="U50" s="269">
        <f t="shared" si="51"/>
        <v>5610704704</v>
      </c>
      <c r="V50" s="407">
        <f t="shared" si="97"/>
        <v>-16704</v>
      </c>
      <c r="W50" s="407">
        <f t="shared" si="92"/>
        <v>-33444</v>
      </c>
      <c r="Y50" s="277"/>
      <c r="AA50" s="277"/>
      <c r="AB50" s="278"/>
      <c r="AC50" s="278"/>
      <c r="AD50" s="278"/>
      <c r="AE50" s="278"/>
      <c r="AF50" s="278"/>
      <c r="AG50" s="277"/>
    </row>
    <row r="51" spans="2:33" s="276" customFormat="1" ht="11.5" outlineLevel="1" x14ac:dyDescent="0.25">
      <c r="B51" s="128" t="s">
        <v>330</v>
      </c>
      <c r="C51" s="128">
        <v>11648</v>
      </c>
      <c r="D51" s="476">
        <v>162</v>
      </c>
      <c r="E51" s="305">
        <v>8235000</v>
      </c>
      <c r="F51" s="387">
        <f t="shared" si="81"/>
        <v>0.11475409836065564</v>
      </c>
      <c r="G51" s="305">
        <v>9180000</v>
      </c>
      <c r="H51" s="291">
        <v>0.04</v>
      </c>
      <c r="I51" s="292">
        <f t="shared" si="82"/>
        <v>9547200</v>
      </c>
      <c r="J51" s="291">
        <v>0.06</v>
      </c>
      <c r="K51" s="292">
        <f t="shared" si="83"/>
        <v>9730800</v>
      </c>
      <c r="L51" s="398">
        <v>14</v>
      </c>
      <c r="M51" s="404">
        <f t="shared" si="84"/>
        <v>128520000</v>
      </c>
      <c r="N51" s="398">
        <v>16</v>
      </c>
      <c r="O51" s="402">
        <f t="shared" si="85"/>
        <v>146880000</v>
      </c>
      <c r="P51" s="397">
        <f t="shared" si="86"/>
        <v>275400000</v>
      </c>
      <c r="Q51" s="397">
        <f t="shared" si="87"/>
        <v>115290000.00000001</v>
      </c>
      <c r="R51" s="397">
        <f t="shared" si="88"/>
        <v>127372392.00000001</v>
      </c>
      <c r="S51" s="397">
        <f t="shared" si="96"/>
        <v>1147607.9999999851</v>
      </c>
      <c r="T51" s="397">
        <f t="shared" si="90"/>
        <v>131760000.00000001</v>
      </c>
      <c r="U51" s="402">
        <f t="shared" si="51"/>
        <v>145568448.00000003</v>
      </c>
      <c r="V51" s="397">
        <f t="shared" si="97"/>
        <v>1311551.9999999702</v>
      </c>
      <c r="W51" s="407">
        <f t="shared" si="92"/>
        <v>2459159.9999999553</v>
      </c>
      <c r="Y51" s="277"/>
      <c r="AA51" s="277"/>
      <c r="AB51" s="278"/>
      <c r="AC51" s="278"/>
      <c r="AD51" s="278"/>
      <c r="AE51" s="278"/>
      <c r="AF51" s="278"/>
      <c r="AG51" s="277"/>
    </row>
    <row r="52" spans="2:33" s="276" customFormat="1" ht="11.5" outlineLevel="1" x14ac:dyDescent="0.25">
      <c r="B52" s="128" t="s">
        <v>147</v>
      </c>
      <c r="C52" s="128">
        <v>11648</v>
      </c>
      <c r="D52" s="477">
        <v>162</v>
      </c>
      <c r="E52" s="305">
        <v>8235000</v>
      </c>
      <c r="F52" s="387">
        <f t="shared" ref="F52" si="100">(G52/E52)-1</f>
        <v>0.10479659987856715</v>
      </c>
      <c r="G52" s="305">
        <v>9098000</v>
      </c>
      <c r="H52" s="291">
        <v>0.04</v>
      </c>
      <c r="I52" s="292">
        <f t="shared" ref="I52" si="101">+(G52*H52)+G52</f>
        <v>9461920</v>
      </c>
      <c r="J52" s="291">
        <v>0.06</v>
      </c>
      <c r="K52" s="292">
        <f t="shared" ref="K52" si="102">+(G52*J52)+G52</f>
        <v>9643880</v>
      </c>
      <c r="L52" s="398">
        <v>102</v>
      </c>
      <c r="M52" s="404">
        <f t="shared" si="84"/>
        <v>927996000</v>
      </c>
      <c r="N52" s="398">
        <v>97</v>
      </c>
      <c r="O52" s="269">
        <f t="shared" si="85"/>
        <v>882506000</v>
      </c>
      <c r="P52" s="397">
        <f t="shared" si="86"/>
        <v>1810502000</v>
      </c>
      <c r="Q52" s="397">
        <f t="shared" si="87"/>
        <v>839970000</v>
      </c>
      <c r="R52" s="397">
        <f t="shared" si="88"/>
        <v>927998856</v>
      </c>
      <c r="S52" s="397">
        <f t="shared" si="96"/>
        <v>-2856</v>
      </c>
      <c r="T52" s="397">
        <f t="shared" si="90"/>
        <v>798795000</v>
      </c>
      <c r="U52" s="269">
        <f t="shared" si="51"/>
        <v>882508716</v>
      </c>
      <c r="V52" s="407">
        <f t="shared" si="97"/>
        <v>-2716</v>
      </c>
      <c r="W52" s="407">
        <f t="shared" si="92"/>
        <v>-5572</v>
      </c>
      <c r="Y52" s="277"/>
      <c r="AA52" s="277"/>
      <c r="AB52" s="278"/>
      <c r="AC52" s="278"/>
      <c r="AD52" s="278"/>
      <c r="AE52" s="278"/>
      <c r="AF52" s="278"/>
      <c r="AG52" s="277"/>
    </row>
    <row r="53" spans="2:33" s="276" customFormat="1" ht="11.5" outlineLevel="1" x14ac:dyDescent="0.25">
      <c r="B53" s="128" t="s">
        <v>331</v>
      </c>
      <c r="C53" s="128">
        <v>15808</v>
      </c>
      <c r="D53" s="476">
        <v>152</v>
      </c>
      <c r="E53" s="305">
        <v>9654000</v>
      </c>
      <c r="F53" s="387">
        <f t="shared" si="81"/>
        <v>0.11477107934534914</v>
      </c>
      <c r="G53" s="305">
        <v>10762000</v>
      </c>
      <c r="H53" s="291">
        <v>0.04</v>
      </c>
      <c r="I53" s="292">
        <f t="shared" si="82"/>
        <v>11192480</v>
      </c>
      <c r="J53" s="291">
        <v>0.06</v>
      </c>
      <c r="K53" s="292">
        <f t="shared" si="83"/>
        <v>11407720</v>
      </c>
      <c r="L53" s="398">
        <v>20</v>
      </c>
      <c r="M53" s="404">
        <f t="shared" si="84"/>
        <v>215240000</v>
      </c>
      <c r="N53" s="398">
        <v>24</v>
      </c>
      <c r="O53" s="402">
        <f t="shared" si="85"/>
        <v>258288000</v>
      </c>
      <c r="P53" s="397">
        <f t="shared" si="86"/>
        <v>473528000</v>
      </c>
      <c r="Q53" s="397">
        <f t="shared" si="87"/>
        <v>193080000</v>
      </c>
      <c r="R53" s="397">
        <f t="shared" si="88"/>
        <v>213314784</v>
      </c>
      <c r="S53" s="397">
        <f t="shared" si="96"/>
        <v>1925216</v>
      </c>
      <c r="T53" s="397">
        <f t="shared" si="90"/>
        <v>231696000</v>
      </c>
      <c r="U53" s="402">
        <f t="shared" si="51"/>
        <v>255977740.80000001</v>
      </c>
      <c r="V53" s="397">
        <f t="shared" si="97"/>
        <v>2310259.1999999881</v>
      </c>
      <c r="W53" s="407">
        <f t="shared" si="92"/>
        <v>4235475.1999999881</v>
      </c>
      <c r="Y53" s="277"/>
      <c r="AA53" s="277"/>
      <c r="AB53" s="278"/>
      <c r="AC53" s="278"/>
      <c r="AD53" s="278"/>
      <c r="AE53" s="278"/>
      <c r="AF53" s="278"/>
      <c r="AG53" s="277"/>
    </row>
    <row r="54" spans="2:33" s="276" customFormat="1" ht="11.5" outlineLevel="1" x14ac:dyDescent="0.25">
      <c r="B54" s="128" t="s">
        <v>148</v>
      </c>
      <c r="C54" s="128">
        <v>15808</v>
      </c>
      <c r="D54" s="477">
        <v>152</v>
      </c>
      <c r="E54" s="305">
        <v>9654000</v>
      </c>
      <c r="F54" s="387">
        <f t="shared" ref="F54" si="103">(G54/E54)-1</f>
        <v>0.1047234307022995</v>
      </c>
      <c r="G54" s="305">
        <v>10665000</v>
      </c>
      <c r="H54" s="291">
        <v>0.04</v>
      </c>
      <c r="I54" s="292">
        <f t="shared" ref="I54:I56" si="104">+(G54*H54)+G54</f>
        <v>11091600</v>
      </c>
      <c r="J54" s="291">
        <v>0.06</v>
      </c>
      <c r="K54" s="292">
        <f t="shared" ref="K54:K56" si="105">+(G54*J54)+G54</f>
        <v>11304900</v>
      </c>
      <c r="L54" s="398">
        <v>136</v>
      </c>
      <c r="M54" s="404">
        <f t="shared" si="84"/>
        <v>1450440000</v>
      </c>
      <c r="N54" s="398">
        <v>134</v>
      </c>
      <c r="O54" s="269">
        <f t="shared" si="85"/>
        <v>1429110000</v>
      </c>
      <c r="P54" s="397">
        <f t="shared" si="86"/>
        <v>2879550000</v>
      </c>
      <c r="Q54" s="397">
        <f t="shared" si="87"/>
        <v>1312944000</v>
      </c>
      <c r="R54" s="397">
        <f t="shared" si="88"/>
        <v>1450540531.2</v>
      </c>
      <c r="S54" s="397">
        <f t="shared" si="96"/>
        <v>-100531.20000004768</v>
      </c>
      <c r="T54" s="397">
        <f t="shared" si="90"/>
        <v>1293636000</v>
      </c>
      <c r="U54" s="269">
        <f t="shared" si="51"/>
        <v>1429209052.8</v>
      </c>
      <c r="V54" s="407">
        <f t="shared" si="97"/>
        <v>-99052.799999952316</v>
      </c>
      <c r="W54" s="407">
        <f t="shared" si="92"/>
        <v>-199584</v>
      </c>
      <c r="Y54" s="277"/>
      <c r="AA54" s="277"/>
      <c r="AB54" s="278"/>
      <c r="AC54" s="278"/>
      <c r="AD54" s="278"/>
      <c r="AE54" s="278"/>
      <c r="AF54" s="278"/>
      <c r="AG54" s="277"/>
    </row>
    <row r="55" spans="2:33" s="276" customFormat="1" ht="11.5" outlineLevel="1" x14ac:dyDescent="0.25">
      <c r="B55" s="128" t="s">
        <v>332</v>
      </c>
      <c r="C55" s="128">
        <v>54163</v>
      </c>
      <c r="D55" s="476">
        <v>148</v>
      </c>
      <c r="E55" s="305">
        <v>5896000</v>
      </c>
      <c r="F55" s="387">
        <f t="shared" si="81"/>
        <v>0.11465400271370418</v>
      </c>
      <c r="G55" s="305">
        <v>6572000</v>
      </c>
      <c r="H55" s="291">
        <v>0.04</v>
      </c>
      <c r="I55" s="292">
        <f t="shared" si="104"/>
        <v>6834880</v>
      </c>
      <c r="J55" s="291">
        <v>0.06</v>
      </c>
      <c r="K55" s="292">
        <f t="shared" si="105"/>
        <v>6966320</v>
      </c>
      <c r="L55" s="398">
        <v>5</v>
      </c>
      <c r="M55" s="404">
        <f t="shared" si="84"/>
        <v>32860000</v>
      </c>
      <c r="N55" s="398">
        <v>5</v>
      </c>
      <c r="O55" s="402">
        <f t="shared" si="85"/>
        <v>32860000</v>
      </c>
      <c r="P55" s="397">
        <f t="shared" si="86"/>
        <v>65720000</v>
      </c>
      <c r="Q55" s="397">
        <f t="shared" si="87"/>
        <v>29480000</v>
      </c>
      <c r="R55" s="397">
        <f t="shared" si="88"/>
        <v>32569504</v>
      </c>
      <c r="S55" s="397">
        <f t="shared" si="96"/>
        <v>290496</v>
      </c>
      <c r="T55" s="397">
        <f t="shared" si="90"/>
        <v>29480000</v>
      </c>
      <c r="U55" s="402">
        <f t="shared" si="51"/>
        <v>32569504</v>
      </c>
      <c r="V55" s="397">
        <f t="shared" si="97"/>
        <v>290496</v>
      </c>
      <c r="W55" s="407">
        <f t="shared" si="92"/>
        <v>580992</v>
      </c>
      <c r="Y55" s="277"/>
      <c r="AA55" s="277"/>
      <c r="AB55" s="278"/>
      <c r="AC55" s="278"/>
      <c r="AD55" s="278"/>
      <c r="AE55" s="278"/>
      <c r="AF55" s="278"/>
      <c r="AG55" s="277"/>
    </row>
    <row r="56" spans="2:33" s="276" customFormat="1" ht="11.5" outlineLevel="1" x14ac:dyDescent="0.25">
      <c r="B56" s="128" t="s">
        <v>151</v>
      </c>
      <c r="C56" s="128">
        <v>54163</v>
      </c>
      <c r="D56" s="477">
        <v>148</v>
      </c>
      <c r="E56" s="305">
        <v>5896000</v>
      </c>
      <c r="F56" s="387">
        <f t="shared" ref="F56" si="106">(G56/E56)-1</f>
        <v>0.10464721845318858</v>
      </c>
      <c r="G56" s="305">
        <v>6513000</v>
      </c>
      <c r="H56" s="291">
        <v>0.04</v>
      </c>
      <c r="I56" s="292">
        <f t="shared" si="104"/>
        <v>6773520</v>
      </c>
      <c r="J56" s="291">
        <v>0.06</v>
      </c>
      <c r="K56" s="292">
        <f t="shared" si="105"/>
        <v>6903780</v>
      </c>
      <c r="L56" s="405">
        <v>21</v>
      </c>
      <c r="M56" s="404">
        <f t="shared" si="84"/>
        <v>136773000</v>
      </c>
      <c r="N56" s="405">
        <v>20</v>
      </c>
      <c r="O56" s="269">
        <f t="shared" si="85"/>
        <v>130260000</v>
      </c>
      <c r="P56" s="407">
        <f t="shared" si="86"/>
        <v>267033000</v>
      </c>
      <c r="Q56" s="407">
        <f t="shared" si="87"/>
        <v>123816000</v>
      </c>
      <c r="R56" s="407">
        <f t="shared" si="88"/>
        <v>136791916.80000001</v>
      </c>
      <c r="S56" s="407">
        <f t="shared" si="96"/>
        <v>-18916.800000011921</v>
      </c>
      <c r="T56" s="407">
        <f t="shared" si="90"/>
        <v>117920000</v>
      </c>
      <c r="U56" s="269">
        <f t="shared" si="51"/>
        <v>130278016</v>
      </c>
      <c r="V56" s="407">
        <f t="shared" si="97"/>
        <v>-18016</v>
      </c>
      <c r="W56" s="407">
        <f t="shared" si="92"/>
        <v>-36932.800000011921</v>
      </c>
      <c r="Y56" s="277"/>
      <c r="AA56" s="277"/>
      <c r="AB56" s="278"/>
      <c r="AC56" s="278"/>
      <c r="AD56" s="278"/>
      <c r="AE56" s="278"/>
      <c r="AF56" s="278"/>
      <c r="AG56" s="277"/>
    </row>
    <row r="57" spans="2:33" s="276" customFormat="1" ht="13" outlineLevel="1" x14ac:dyDescent="0.3">
      <c r="B57" s="62" t="s">
        <v>265</v>
      </c>
      <c r="C57" s="294"/>
      <c r="D57" s="295"/>
      <c r="E57" s="63"/>
      <c r="F57" s="387"/>
      <c r="G57" s="63"/>
      <c r="H57" s="298"/>
      <c r="I57" s="298"/>
      <c r="J57" s="298"/>
      <c r="K57" s="298"/>
      <c r="L57" s="298"/>
      <c r="M57" s="275"/>
      <c r="N57" s="298"/>
      <c r="O57" s="275"/>
      <c r="P57" s="275"/>
      <c r="Q57" s="275"/>
      <c r="R57" s="275"/>
      <c r="S57" s="275"/>
      <c r="T57" s="275"/>
      <c r="U57" s="275"/>
      <c r="V57" s="275"/>
      <c r="W57" s="275"/>
      <c r="Y57" s="277"/>
      <c r="AA57" s="277"/>
      <c r="AB57" s="278"/>
      <c r="AC57" s="278"/>
      <c r="AD57" s="278"/>
      <c r="AE57" s="278"/>
      <c r="AF57" s="278"/>
      <c r="AG57" s="277"/>
    </row>
    <row r="58" spans="2:33" s="276" customFormat="1" ht="11.5" outlineLevel="1" x14ac:dyDescent="0.25">
      <c r="B58" s="128" t="s">
        <v>333</v>
      </c>
      <c r="C58" s="290">
        <v>53296</v>
      </c>
      <c r="D58" s="476">
        <v>144</v>
      </c>
      <c r="E58" s="305">
        <v>10167000</v>
      </c>
      <c r="F58" s="387">
        <f t="shared" ref="F58:F65" si="107">(G58/E58)-1</f>
        <v>0.11478312186485695</v>
      </c>
      <c r="G58" s="305">
        <v>11334000</v>
      </c>
      <c r="H58" s="291">
        <v>0.04</v>
      </c>
      <c r="I58" s="292">
        <f t="shared" ref="I58:I65" si="108">+(G58*H58)+G58</f>
        <v>11787360</v>
      </c>
      <c r="J58" s="291">
        <v>0.06</v>
      </c>
      <c r="K58" s="292">
        <f t="shared" ref="K58:K65" si="109">+(G58*J58)+G58</f>
        <v>12014040</v>
      </c>
      <c r="L58" s="398">
        <v>59</v>
      </c>
      <c r="M58" s="404">
        <f t="shared" ref="M58:M65" si="110">+L58*G58</f>
        <v>668706000</v>
      </c>
      <c r="N58" s="398">
        <v>58</v>
      </c>
      <c r="O58" s="402">
        <f t="shared" ref="O58:O65" si="111">+N58*G58</f>
        <v>657372000</v>
      </c>
      <c r="P58" s="397">
        <f t="shared" ref="P58:P65" si="112">+M58+O58</f>
        <v>1326078000</v>
      </c>
      <c r="Q58" s="397">
        <f t="shared" ref="Q58:Q65" si="113">M58/(1+F58)</f>
        <v>599853000</v>
      </c>
      <c r="R58" s="397">
        <f t="shared" ref="R58:R65" si="114">($Q58*$R$10)+$Q58</f>
        <v>662717594.39999998</v>
      </c>
      <c r="S58" s="397">
        <f t="shared" ref="S58:S65" si="115">M58-R58</f>
        <v>5988405.6000000238</v>
      </c>
      <c r="T58" s="397">
        <f t="shared" ref="T58:T65" si="116">O58/(1+F58)</f>
        <v>589686000</v>
      </c>
      <c r="U58" s="402">
        <f t="shared" si="51"/>
        <v>651485092.79999995</v>
      </c>
      <c r="V58" s="397">
        <f t="shared" ref="V58:V65" si="117">O58-U58</f>
        <v>5886907.2000000477</v>
      </c>
      <c r="W58" s="407">
        <f t="shared" ref="W58:W65" si="118">S58+V58</f>
        <v>11875312.800000072</v>
      </c>
      <c r="Y58" s="277"/>
      <c r="AA58" s="277"/>
      <c r="AB58" s="278"/>
      <c r="AC58" s="278"/>
      <c r="AD58" s="278"/>
      <c r="AE58" s="278"/>
      <c r="AF58" s="278"/>
      <c r="AG58" s="277"/>
    </row>
    <row r="59" spans="2:33" s="276" customFormat="1" ht="11.5" outlineLevel="1" x14ac:dyDescent="0.25">
      <c r="B59" s="128" t="s">
        <v>149</v>
      </c>
      <c r="C59" s="290">
        <v>53296</v>
      </c>
      <c r="D59" s="477">
        <v>144</v>
      </c>
      <c r="E59" s="305">
        <v>10167000</v>
      </c>
      <c r="F59" s="387">
        <f t="shared" si="107"/>
        <v>0.10475066391265853</v>
      </c>
      <c r="G59" s="305">
        <v>11232000</v>
      </c>
      <c r="H59" s="291">
        <v>0.04</v>
      </c>
      <c r="I59" s="292">
        <f t="shared" si="108"/>
        <v>11681280</v>
      </c>
      <c r="J59" s="291">
        <v>0.06</v>
      </c>
      <c r="K59" s="292">
        <f t="shared" si="109"/>
        <v>11905920</v>
      </c>
      <c r="L59" s="398">
        <v>287</v>
      </c>
      <c r="M59" s="404">
        <f t="shared" si="110"/>
        <v>3223584000</v>
      </c>
      <c r="N59" s="398">
        <v>300</v>
      </c>
      <c r="O59" s="269">
        <f t="shared" si="111"/>
        <v>3369600000</v>
      </c>
      <c r="P59" s="397">
        <f t="shared" si="112"/>
        <v>6593184000</v>
      </c>
      <c r="Q59" s="397">
        <f t="shared" si="113"/>
        <v>2917929000</v>
      </c>
      <c r="R59" s="397">
        <f t="shared" si="114"/>
        <v>3223727959.1999998</v>
      </c>
      <c r="S59" s="397">
        <f t="shared" si="115"/>
        <v>-143959.19999980927</v>
      </c>
      <c r="T59" s="397">
        <f t="shared" si="116"/>
        <v>3050100000</v>
      </c>
      <c r="U59" s="269">
        <f t="shared" si="51"/>
        <v>3369750480</v>
      </c>
      <c r="V59" s="407">
        <f t="shared" si="117"/>
        <v>-150480</v>
      </c>
      <c r="W59" s="407">
        <f t="shared" si="118"/>
        <v>-294439.19999980927</v>
      </c>
      <c r="Y59" s="277"/>
      <c r="AA59" s="277"/>
      <c r="AB59" s="278"/>
      <c r="AC59" s="278"/>
      <c r="AD59" s="278"/>
      <c r="AE59" s="278"/>
      <c r="AF59" s="278"/>
      <c r="AG59" s="277"/>
    </row>
    <row r="60" spans="2:33" s="276" customFormat="1" ht="11.5" outlineLevel="1" x14ac:dyDescent="0.25">
      <c r="B60" s="128" t="s">
        <v>334</v>
      </c>
      <c r="C60" s="290">
        <v>53475</v>
      </c>
      <c r="D60" s="476">
        <v>144</v>
      </c>
      <c r="E60" s="305">
        <v>9040000</v>
      </c>
      <c r="F60" s="387">
        <f t="shared" si="107"/>
        <v>0.11471238938053108</v>
      </c>
      <c r="G60" s="305">
        <v>10077000</v>
      </c>
      <c r="H60" s="291">
        <v>0.04</v>
      </c>
      <c r="I60" s="292">
        <f t="shared" si="108"/>
        <v>10480080</v>
      </c>
      <c r="J60" s="291">
        <v>0.06</v>
      </c>
      <c r="K60" s="292">
        <f t="shared" si="109"/>
        <v>10681620</v>
      </c>
      <c r="L60" s="398">
        <v>19</v>
      </c>
      <c r="M60" s="404">
        <f t="shared" si="110"/>
        <v>191463000</v>
      </c>
      <c r="N60" s="398">
        <v>20</v>
      </c>
      <c r="O60" s="402">
        <f t="shared" si="111"/>
        <v>201540000</v>
      </c>
      <c r="P60" s="397">
        <f t="shared" si="112"/>
        <v>393003000</v>
      </c>
      <c r="Q60" s="397">
        <f t="shared" si="113"/>
        <v>171759999.99999997</v>
      </c>
      <c r="R60" s="397">
        <f t="shared" si="114"/>
        <v>189760447.99999997</v>
      </c>
      <c r="S60" s="397">
        <f t="shared" si="115"/>
        <v>1702552.0000000298</v>
      </c>
      <c r="T60" s="397">
        <f t="shared" si="116"/>
        <v>180799999.99999997</v>
      </c>
      <c r="U60" s="402">
        <f t="shared" si="51"/>
        <v>199747839.99999997</v>
      </c>
      <c r="V60" s="397">
        <f t="shared" si="117"/>
        <v>1792160.0000000298</v>
      </c>
      <c r="W60" s="407">
        <f t="shared" si="118"/>
        <v>3494712.0000000596</v>
      </c>
      <c r="Y60" s="277"/>
      <c r="AA60" s="277"/>
      <c r="AB60" s="278"/>
      <c r="AC60" s="278"/>
      <c r="AD60" s="278"/>
      <c r="AE60" s="278"/>
      <c r="AF60" s="278"/>
      <c r="AG60" s="277"/>
    </row>
    <row r="61" spans="2:33" s="276" customFormat="1" ht="11.5" outlineLevel="1" x14ac:dyDescent="0.25">
      <c r="B61" s="128" t="s">
        <v>150</v>
      </c>
      <c r="C61" s="290">
        <v>53475</v>
      </c>
      <c r="D61" s="477">
        <v>144</v>
      </c>
      <c r="E61" s="305">
        <v>9040000</v>
      </c>
      <c r="F61" s="387">
        <f t="shared" si="107"/>
        <v>0.10475663716814165</v>
      </c>
      <c r="G61" s="305">
        <v>9987000</v>
      </c>
      <c r="H61" s="291">
        <v>0.04</v>
      </c>
      <c r="I61" s="292">
        <f t="shared" si="108"/>
        <v>10386480</v>
      </c>
      <c r="J61" s="291">
        <v>0.06</v>
      </c>
      <c r="K61" s="292">
        <f t="shared" si="109"/>
        <v>10586220</v>
      </c>
      <c r="L61" s="398">
        <v>99</v>
      </c>
      <c r="M61" s="404">
        <f t="shared" si="110"/>
        <v>988713000</v>
      </c>
      <c r="N61" s="398">
        <v>104</v>
      </c>
      <c r="O61" s="269">
        <f t="shared" si="111"/>
        <v>1038648000</v>
      </c>
      <c r="P61" s="397">
        <f t="shared" si="112"/>
        <v>2027361000</v>
      </c>
      <c r="Q61" s="397">
        <f t="shared" si="113"/>
        <v>894960000</v>
      </c>
      <c r="R61" s="397">
        <f t="shared" si="114"/>
        <v>988751808</v>
      </c>
      <c r="S61" s="397">
        <f t="shared" si="115"/>
        <v>-38808</v>
      </c>
      <c r="T61" s="397">
        <f t="shared" si="116"/>
        <v>940160000</v>
      </c>
      <c r="U61" s="269">
        <f t="shared" si="51"/>
        <v>1038688768</v>
      </c>
      <c r="V61" s="407">
        <f t="shared" si="117"/>
        <v>-40768</v>
      </c>
      <c r="W61" s="407">
        <f t="shared" si="118"/>
        <v>-79576</v>
      </c>
      <c r="Y61" s="277"/>
      <c r="AA61" s="277"/>
      <c r="AB61" s="278"/>
      <c r="AC61" s="278"/>
      <c r="AD61" s="278"/>
      <c r="AE61" s="278"/>
      <c r="AF61" s="278"/>
      <c r="AG61" s="277"/>
    </row>
    <row r="62" spans="2:33" s="276" customFormat="1" ht="11.5" outlineLevel="1" x14ac:dyDescent="0.25">
      <c r="B62" s="128" t="s">
        <v>335</v>
      </c>
      <c r="C62" s="290">
        <v>90368</v>
      </c>
      <c r="D62" s="482">
        <v>162</v>
      </c>
      <c r="E62" s="305">
        <v>9343000</v>
      </c>
      <c r="F62" s="387">
        <f t="shared" si="107"/>
        <v>0.11473830675371932</v>
      </c>
      <c r="G62" s="305">
        <v>10415000</v>
      </c>
      <c r="H62" s="291">
        <v>0.04</v>
      </c>
      <c r="I62" s="292">
        <f t="shared" si="108"/>
        <v>10831600</v>
      </c>
      <c r="J62" s="291">
        <v>0.06</v>
      </c>
      <c r="K62" s="292">
        <f t="shared" si="109"/>
        <v>11039900</v>
      </c>
      <c r="L62" s="398">
        <v>58</v>
      </c>
      <c r="M62" s="404">
        <f t="shared" si="110"/>
        <v>604070000</v>
      </c>
      <c r="N62" s="398">
        <v>72</v>
      </c>
      <c r="O62" s="402">
        <f t="shared" si="111"/>
        <v>749880000</v>
      </c>
      <c r="P62" s="397">
        <f t="shared" si="112"/>
        <v>1353950000</v>
      </c>
      <c r="Q62" s="397">
        <f t="shared" si="113"/>
        <v>541894000</v>
      </c>
      <c r="R62" s="397">
        <f t="shared" si="114"/>
        <v>598684491.20000005</v>
      </c>
      <c r="S62" s="397">
        <f t="shared" si="115"/>
        <v>5385508.7999999523</v>
      </c>
      <c r="T62" s="397">
        <f t="shared" si="116"/>
        <v>672696000</v>
      </c>
      <c r="U62" s="402">
        <f t="shared" si="51"/>
        <v>743194540.79999995</v>
      </c>
      <c r="V62" s="397">
        <f t="shared" si="117"/>
        <v>6685459.2000000477</v>
      </c>
      <c r="W62" s="407">
        <f t="shared" si="118"/>
        <v>12070968</v>
      </c>
      <c r="Y62" s="277"/>
      <c r="AA62" s="277"/>
      <c r="AB62" s="278"/>
      <c r="AC62" s="278"/>
      <c r="AD62" s="278"/>
      <c r="AE62" s="278"/>
      <c r="AF62" s="278"/>
      <c r="AG62" s="277"/>
    </row>
    <row r="63" spans="2:33" s="276" customFormat="1" ht="11.5" outlineLevel="1" x14ac:dyDescent="0.25">
      <c r="B63" s="128" t="s">
        <v>294</v>
      </c>
      <c r="C63" s="290">
        <v>90368</v>
      </c>
      <c r="D63" s="482"/>
      <c r="E63" s="305">
        <v>9343000</v>
      </c>
      <c r="F63" s="387">
        <f t="shared" si="107"/>
        <v>0.10478433051482394</v>
      </c>
      <c r="G63" s="305">
        <v>10322000</v>
      </c>
      <c r="H63" s="291">
        <v>0.04</v>
      </c>
      <c r="I63" s="292">
        <f t="shared" si="108"/>
        <v>10734880</v>
      </c>
      <c r="J63" s="291">
        <v>0.06</v>
      </c>
      <c r="K63" s="292">
        <f t="shared" si="109"/>
        <v>10941320</v>
      </c>
      <c r="L63" s="398">
        <v>390</v>
      </c>
      <c r="M63" s="404">
        <f t="shared" si="110"/>
        <v>4025580000</v>
      </c>
      <c r="N63" s="398">
        <v>408</v>
      </c>
      <c r="O63" s="269">
        <f t="shared" si="111"/>
        <v>4211376000</v>
      </c>
      <c r="P63" s="397">
        <f t="shared" si="112"/>
        <v>8236956000</v>
      </c>
      <c r="Q63" s="397">
        <f t="shared" si="113"/>
        <v>3643770000</v>
      </c>
      <c r="R63" s="397">
        <f t="shared" si="114"/>
        <v>4025637096</v>
      </c>
      <c r="S63" s="397">
        <f t="shared" si="115"/>
        <v>-57096</v>
      </c>
      <c r="T63" s="397">
        <f t="shared" si="116"/>
        <v>3811944000</v>
      </c>
      <c r="U63" s="269">
        <f t="shared" si="51"/>
        <v>4211435731.1999998</v>
      </c>
      <c r="V63" s="407">
        <f t="shared" si="117"/>
        <v>-59731.199999809265</v>
      </c>
      <c r="W63" s="407">
        <f t="shared" si="118"/>
        <v>-116827.19999980927</v>
      </c>
      <c r="Y63" s="277"/>
      <c r="AA63" s="277"/>
      <c r="AB63" s="278"/>
      <c r="AC63" s="278"/>
      <c r="AD63" s="278"/>
      <c r="AE63" s="278"/>
      <c r="AF63" s="278"/>
      <c r="AG63" s="277"/>
    </row>
    <row r="64" spans="2:33" s="276" customFormat="1" ht="11.5" outlineLevel="1" x14ac:dyDescent="0.25">
      <c r="B64" s="128" t="s">
        <v>336</v>
      </c>
      <c r="C64" s="290">
        <v>108766</v>
      </c>
      <c r="D64" s="476">
        <v>144</v>
      </c>
      <c r="E64" s="305">
        <v>10079000</v>
      </c>
      <c r="F64" s="387">
        <f t="shared" si="107"/>
        <v>0.11479313423950788</v>
      </c>
      <c r="G64" s="305">
        <v>11236000</v>
      </c>
      <c r="H64" s="291">
        <v>0.04</v>
      </c>
      <c r="I64" s="292">
        <f t="shared" si="108"/>
        <v>11685440</v>
      </c>
      <c r="J64" s="291">
        <v>0.06</v>
      </c>
      <c r="K64" s="292">
        <f t="shared" si="109"/>
        <v>11910160</v>
      </c>
      <c r="L64" s="398">
        <v>38</v>
      </c>
      <c r="M64" s="404">
        <f t="shared" si="110"/>
        <v>426968000</v>
      </c>
      <c r="N64" s="398">
        <v>40</v>
      </c>
      <c r="O64" s="402">
        <f t="shared" si="111"/>
        <v>449440000</v>
      </c>
      <c r="P64" s="397">
        <f t="shared" si="112"/>
        <v>876408000</v>
      </c>
      <c r="Q64" s="397">
        <f t="shared" si="113"/>
        <v>383002000</v>
      </c>
      <c r="R64" s="397">
        <f t="shared" si="114"/>
        <v>423140609.60000002</v>
      </c>
      <c r="S64" s="397">
        <f t="shared" si="115"/>
        <v>3827390.3999999762</v>
      </c>
      <c r="T64" s="397">
        <f t="shared" si="116"/>
        <v>403160000</v>
      </c>
      <c r="U64" s="402">
        <f t="shared" si="51"/>
        <v>445411168</v>
      </c>
      <c r="V64" s="397">
        <f t="shared" si="117"/>
        <v>4028832</v>
      </c>
      <c r="W64" s="407">
        <f t="shared" si="118"/>
        <v>7856222.3999999762</v>
      </c>
      <c r="Y64" s="277"/>
      <c r="AA64" s="277"/>
      <c r="AB64" s="278"/>
      <c r="AC64" s="278"/>
      <c r="AD64" s="278"/>
      <c r="AE64" s="278"/>
      <c r="AF64" s="278"/>
      <c r="AG64" s="277"/>
    </row>
    <row r="65" spans="1:33" s="276" customFormat="1" ht="11.5" outlineLevel="1" x14ac:dyDescent="0.25">
      <c r="B65" s="128" t="s">
        <v>256</v>
      </c>
      <c r="C65" s="290">
        <v>108766</v>
      </c>
      <c r="D65" s="477">
        <v>144</v>
      </c>
      <c r="E65" s="305">
        <v>10079000</v>
      </c>
      <c r="F65" s="387">
        <f t="shared" si="107"/>
        <v>0.10477229883917061</v>
      </c>
      <c r="G65" s="305">
        <v>11135000</v>
      </c>
      <c r="H65" s="291">
        <v>0.04</v>
      </c>
      <c r="I65" s="292">
        <f t="shared" si="108"/>
        <v>11580400</v>
      </c>
      <c r="J65" s="291">
        <v>0.06</v>
      </c>
      <c r="K65" s="292">
        <f t="shared" si="109"/>
        <v>11803100</v>
      </c>
      <c r="L65" s="398">
        <v>144</v>
      </c>
      <c r="M65" s="404">
        <f t="shared" si="110"/>
        <v>1603440000</v>
      </c>
      <c r="N65" s="398">
        <v>168</v>
      </c>
      <c r="O65" s="269">
        <f t="shared" si="111"/>
        <v>1870680000</v>
      </c>
      <c r="P65" s="397">
        <f t="shared" si="112"/>
        <v>3474120000</v>
      </c>
      <c r="Q65" s="397">
        <f t="shared" si="113"/>
        <v>1451376000</v>
      </c>
      <c r="R65" s="397">
        <f t="shared" si="114"/>
        <v>1603480204.8</v>
      </c>
      <c r="S65" s="397">
        <f t="shared" si="115"/>
        <v>-40204.799999952316</v>
      </c>
      <c r="T65" s="397">
        <f t="shared" si="116"/>
        <v>1693272000</v>
      </c>
      <c r="U65" s="269">
        <f t="shared" si="51"/>
        <v>1870726905.5999999</v>
      </c>
      <c r="V65" s="407">
        <f t="shared" si="117"/>
        <v>-46905.599999904633</v>
      </c>
      <c r="W65" s="407">
        <f t="shared" si="118"/>
        <v>-87110.399999856949</v>
      </c>
      <c r="Y65" s="277"/>
      <c r="AA65" s="277"/>
      <c r="AB65" s="278"/>
      <c r="AC65" s="278"/>
      <c r="AD65" s="278"/>
      <c r="AE65" s="278"/>
      <c r="AF65" s="278"/>
      <c r="AG65" s="277"/>
    </row>
    <row r="66" spans="1:33" s="141" customFormat="1" ht="12.75" customHeight="1" outlineLevel="1" x14ac:dyDescent="0.3">
      <c r="B66" s="62" t="s">
        <v>38</v>
      </c>
      <c r="C66" s="294"/>
      <c r="D66" s="299"/>
      <c r="E66" s="63"/>
      <c r="F66" s="387"/>
      <c r="G66" s="63"/>
      <c r="H66" s="282"/>
      <c r="I66" s="282"/>
      <c r="J66" s="282"/>
      <c r="K66" s="282"/>
      <c r="L66" s="373"/>
      <c r="M66" s="336"/>
      <c r="N66" s="373"/>
      <c r="O66" s="336"/>
      <c r="P66" s="275"/>
      <c r="Q66" s="275"/>
      <c r="R66" s="275"/>
      <c r="S66" s="275"/>
      <c r="T66" s="275"/>
      <c r="U66" s="275"/>
      <c r="V66" s="275"/>
      <c r="W66" s="275"/>
      <c r="Y66" s="280"/>
      <c r="AA66" s="280"/>
      <c r="AB66" s="281"/>
      <c r="AC66" s="281"/>
      <c r="AD66" s="281"/>
      <c r="AE66" s="281"/>
      <c r="AF66" s="281"/>
      <c r="AG66" s="280"/>
    </row>
    <row r="67" spans="1:33" s="276" customFormat="1" ht="12.75" customHeight="1" outlineLevel="1" x14ac:dyDescent="0.25">
      <c r="B67" s="324" t="s">
        <v>337</v>
      </c>
      <c r="C67" s="290">
        <v>54936</v>
      </c>
      <c r="D67" s="491">
        <v>300</v>
      </c>
      <c r="E67" s="306">
        <v>19843000</v>
      </c>
      <c r="F67" s="387">
        <f t="shared" ref="F67:F71" si="119">(G67/E67)-1</f>
        <v>0.11475079373078678</v>
      </c>
      <c r="G67" s="306">
        <v>22120000</v>
      </c>
      <c r="H67" s="291">
        <v>0.04</v>
      </c>
      <c r="I67" s="292">
        <f t="shared" ref="I67:I72" si="120">+(G67*H67)+G67</f>
        <v>23004800</v>
      </c>
      <c r="J67" s="291">
        <v>0.06</v>
      </c>
      <c r="K67" s="292">
        <f t="shared" ref="K67:K72" si="121">+(G67*J67)+G67</f>
        <v>23447200</v>
      </c>
      <c r="L67" s="398">
        <v>75</v>
      </c>
      <c r="M67" s="404">
        <f t="shared" ref="M67:M72" si="122">+L67*G67</f>
        <v>1659000000</v>
      </c>
      <c r="N67" s="398">
        <v>75</v>
      </c>
      <c r="O67" s="402">
        <f t="shared" ref="O67:O72" si="123">+N67*G67</f>
        <v>1659000000</v>
      </c>
      <c r="P67" s="397">
        <f t="shared" ref="P67:P72" si="124">+M67+O67</f>
        <v>3318000000</v>
      </c>
      <c r="Q67" s="397">
        <f t="shared" ref="Q67:Q72" si="125">M67/(1+F67)</f>
        <v>1488224999.9999998</v>
      </c>
      <c r="R67" s="397">
        <f t="shared" ref="R67:R72" si="126">($Q67*$R$10)+$Q67</f>
        <v>1644190979.9999998</v>
      </c>
      <c r="S67" s="397">
        <f t="shared" ref="S67:S72" si="127">M67-R67</f>
        <v>14809020.000000238</v>
      </c>
      <c r="T67" s="397">
        <f t="shared" ref="T67:T72" si="128">O67/(1+F67)</f>
        <v>1488224999.9999998</v>
      </c>
      <c r="U67" s="402">
        <f t="shared" si="51"/>
        <v>1644190979.9999998</v>
      </c>
      <c r="V67" s="397">
        <f t="shared" ref="V67:V72" si="129">O67-U67</f>
        <v>14809020.000000238</v>
      </c>
      <c r="W67" s="407">
        <f t="shared" ref="W67:W72" si="130">S67+V67</f>
        <v>29618040.000000477</v>
      </c>
      <c r="Y67" s="277"/>
      <c r="AA67" s="277"/>
      <c r="AB67" s="278"/>
      <c r="AC67" s="278"/>
      <c r="AD67" s="278"/>
      <c r="AE67" s="278"/>
      <c r="AF67" s="278"/>
      <c r="AG67" s="277"/>
    </row>
    <row r="68" spans="1:33" s="276" customFormat="1" ht="12.75" customHeight="1" outlineLevel="1" x14ac:dyDescent="0.25">
      <c r="B68" s="324" t="s">
        <v>295</v>
      </c>
      <c r="C68" s="290">
        <v>54936</v>
      </c>
      <c r="D68" s="491"/>
      <c r="E68" s="306">
        <v>19843000</v>
      </c>
      <c r="F68" s="387">
        <f t="shared" ref="F68" si="131">(G68/E68)-1</f>
        <v>0.10477246384115313</v>
      </c>
      <c r="G68" s="306">
        <v>21922000</v>
      </c>
      <c r="H68" s="291">
        <v>0.04</v>
      </c>
      <c r="I68" s="292">
        <f t="shared" si="120"/>
        <v>22798880</v>
      </c>
      <c r="J68" s="291">
        <v>0.06</v>
      </c>
      <c r="K68" s="292">
        <f t="shared" si="121"/>
        <v>23237320</v>
      </c>
      <c r="L68" s="398">
        <v>765</v>
      </c>
      <c r="M68" s="404">
        <f t="shared" si="122"/>
        <v>16770330000</v>
      </c>
      <c r="N68" s="398">
        <v>743</v>
      </c>
      <c r="O68" s="269">
        <f t="shared" si="123"/>
        <v>16288046000</v>
      </c>
      <c r="P68" s="397">
        <f t="shared" si="124"/>
        <v>33058376000</v>
      </c>
      <c r="Q68" s="397">
        <f t="shared" si="125"/>
        <v>15179894999.999998</v>
      </c>
      <c r="R68" s="397">
        <f t="shared" si="126"/>
        <v>16770747995.999998</v>
      </c>
      <c r="S68" s="397">
        <f t="shared" si="127"/>
        <v>-417995.99999809265</v>
      </c>
      <c r="T68" s="397">
        <f t="shared" si="128"/>
        <v>14743348999.999998</v>
      </c>
      <c r="U68" s="269">
        <f t="shared" si="51"/>
        <v>16288451975.199997</v>
      </c>
      <c r="V68" s="407">
        <f t="shared" si="129"/>
        <v>-405975.19999694824</v>
      </c>
      <c r="W68" s="407">
        <f t="shared" si="130"/>
        <v>-823971.19999504089</v>
      </c>
      <c r="Y68" s="277"/>
      <c r="AA68" s="277"/>
      <c r="AB68" s="278"/>
      <c r="AC68" s="278"/>
      <c r="AD68" s="278"/>
      <c r="AE68" s="278"/>
      <c r="AF68" s="278"/>
      <c r="AG68" s="277"/>
    </row>
    <row r="69" spans="1:33" s="276" customFormat="1" ht="12.75" customHeight="1" outlineLevel="1" x14ac:dyDescent="0.25">
      <c r="B69" s="324" t="s">
        <v>338</v>
      </c>
      <c r="C69" s="290">
        <v>106123</v>
      </c>
      <c r="D69" s="476">
        <v>160</v>
      </c>
      <c r="E69" s="306">
        <v>7809000</v>
      </c>
      <c r="F69" s="387">
        <f t="shared" si="119"/>
        <v>0.11473940325265719</v>
      </c>
      <c r="G69" s="306">
        <v>8705000</v>
      </c>
      <c r="H69" s="291">
        <v>0.04</v>
      </c>
      <c r="I69" s="292">
        <f t="shared" si="120"/>
        <v>9053200</v>
      </c>
      <c r="J69" s="291">
        <v>0.06</v>
      </c>
      <c r="K69" s="292">
        <f t="shared" si="121"/>
        <v>9227300</v>
      </c>
      <c r="L69" s="398">
        <v>38</v>
      </c>
      <c r="M69" s="404">
        <f t="shared" si="122"/>
        <v>330790000</v>
      </c>
      <c r="N69" s="398">
        <v>38</v>
      </c>
      <c r="O69" s="402">
        <f t="shared" si="123"/>
        <v>330790000</v>
      </c>
      <c r="P69" s="397">
        <f t="shared" si="124"/>
        <v>661580000</v>
      </c>
      <c r="Q69" s="397">
        <f t="shared" si="125"/>
        <v>296742000</v>
      </c>
      <c r="R69" s="397">
        <f t="shared" si="126"/>
        <v>327840561.60000002</v>
      </c>
      <c r="S69" s="397">
        <f t="shared" si="127"/>
        <v>2949438.3999999762</v>
      </c>
      <c r="T69" s="397">
        <f t="shared" si="128"/>
        <v>296742000</v>
      </c>
      <c r="U69" s="402">
        <f t="shared" si="51"/>
        <v>327840561.60000002</v>
      </c>
      <c r="V69" s="397">
        <f t="shared" si="129"/>
        <v>2949438.3999999762</v>
      </c>
      <c r="W69" s="407">
        <f t="shared" si="130"/>
        <v>5898876.7999999523</v>
      </c>
      <c r="Y69" s="277"/>
      <c r="AA69" s="277"/>
      <c r="AB69" s="278"/>
      <c r="AC69" s="278"/>
      <c r="AD69" s="278"/>
      <c r="AE69" s="278"/>
      <c r="AF69" s="278"/>
      <c r="AG69" s="277"/>
    </row>
    <row r="70" spans="1:33" s="276" customFormat="1" ht="12.75" customHeight="1" outlineLevel="1" x14ac:dyDescent="0.25">
      <c r="B70" s="324" t="s">
        <v>152</v>
      </c>
      <c r="C70" s="290">
        <v>106123</v>
      </c>
      <c r="D70" s="477">
        <v>160</v>
      </c>
      <c r="E70" s="306">
        <v>7809000</v>
      </c>
      <c r="F70" s="387">
        <f t="shared" ref="F70" si="132">(G70/E70)-1</f>
        <v>0.10475092841593026</v>
      </c>
      <c r="G70" s="306">
        <v>8627000</v>
      </c>
      <c r="H70" s="291">
        <v>0.04</v>
      </c>
      <c r="I70" s="292">
        <f t="shared" si="120"/>
        <v>8972080</v>
      </c>
      <c r="J70" s="291">
        <v>0.06</v>
      </c>
      <c r="K70" s="292">
        <f t="shared" si="121"/>
        <v>9144620</v>
      </c>
      <c r="L70" s="398">
        <v>250</v>
      </c>
      <c r="M70" s="404">
        <f t="shared" si="122"/>
        <v>2156750000</v>
      </c>
      <c r="N70" s="398">
        <v>252</v>
      </c>
      <c r="O70" s="269">
        <f t="shared" si="123"/>
        <v>2174004000</v>
      </c>
      <c r="P70" s="397">
        <f t="shared" si="124"/>
        <v>4330754000</v>
      </c>
      <c r="Q70" s="397">
        <f t="shared" si="125"/>
        <v>1952250000.0000002</v>
      </c>
      <c r="R70" s="397">
        <f t="shared" si="126"/>
        <v>2156845800.0000005</v>
      </c>
      <c r="S70" s="397">
        <f t="shared" si="127"/>
        <v>-95800.000000476837</v>
      </c>
      <c r="T70" s="397">
        <f t="shared" si="128"/>
        <v>1967868000.0000002</v>
      </c>
      <c r="U70" s="269">
        <f t="shared" si="51"/>
        <v>2174100566.4000001</v>
      </c>
      <c r="V70" s="407">
        <f t="shared" si="129"/>
        <v>-96566.400000095367</v>
      </c>
      <c r="W70" s="407">
        <f t="shared" si="130"/>
        <v>-192366.4000005722</v>
      </c>
      <c r="Y70" s="277"/>
      <c r="AA70" s="277"/>
      <c r="AB70" s="278"/>
      <c r="AC70" s="278"/>
      <c r="AD70" s="278"/>
      <c r="AE70" s="278"/>
      <c r="AF70" s="278"/>
      <c r="AG70" s="277"/>
    </row>
    <row r="71" spans="1:33" s="276" customFormat="1" ht="12.75" customHeight="1" outlineLevel="1" x14ac:dyDescent="0.25">
      <c r="B71" s="324" t="s">
        <v>339</v>
      </c>
      <c r="C71" s="487">
        <v>105688</v>
      </c>
      <c r="D71" s="482">
        <v>162</v>
      </c>
      <c r="E71" s="306">
        <v>8126000</v>
      </c>
      <c r="F71" s="387">
        <f t="shared" si="119"/>
        <v>0.1146935761752399</v>
      </c>
      <c r="G71" s="306">
        <v>9058000</v>
      </c>
      <c r="H71" s="291">
        <v>0.04</v>
      </c>
      <c r="I71" s="292">
        <f t="shared" si="120"/>
        <v>9420320</v>
      </c>
      <c r="J71" s="291">
        <v>0.06</v>
      </c>
      <c r="K71" s="292">
        <f t="shared" si="121"/>
        <v>9601480</v>
      </c>
      <c r="L71" s="398">
        <v>57</v>
      </c>
      <c r="M71" s="404">
        <f t="shared" si="122"/>
        <v>516306000</v>
      </c>
      <c r="N71" s="398">
        <v>57</v>
      </c>
      <c r="O71" s="402">
        <f t="shared" si="123"/>
        <v>516306000</v>
      </c>
      <c r="P71" s="397">
        <f t="shared" si="124"/>
        <v>1032612000</v>
      </c>
      <c r="Q71" s="397">
        <f t="shared" si="125"/>
        <v>463182000.00000006</v>
      </c>
      <c r="R71" s="397">
        <f t="shared" si="126"/>
        <v>511723473.60000008</v>
      </c>
      <c r="S71" s="397">
        <f t="shared" si="127"/>
        <v>4582526.3999999166</v>
      </c>
      <c r="T71" s="397">
        <f t="shared" si="128"/>
        <v>463182000.00000006</v>
      </c>
      <c r="U71" s="402">
        <f t="shared" si="51"/>
        <v>511723473.60000008</v>
      </c>
      <c r="V71" s="397">
        <f t="shared" si="129"/>
        <v>4582526.3999999166</v>
      </c>
      <c r="W71" s="407">
        <f t="shared" si="130"/>
        <v>9165052.7999998331</v>
      </c>
      <c r="Y71" s="277"/>
      <c r="AA71" s="277"/>
      <c r="AB71" s="278"/>
      <c r="AC71" s="278"/>
      <c r="AD71" s="278"/>
      <c r="AE71" s="278"/>
      <c r="AF71" s="278"/>
      <c r="AG71" s="277"/>
    </row>
    <row r="72" spans="1:33" s="276" customFormat="1" ht="12.75" customHeight="1" outlineLevel="1" thickBot="1" x14ac:dyDescent="0.3">
      <c r="B72" s="324" t="s">
        <v>297</v>
      </c>
      <c r="C72" s="488"/>
      <c r="D72" s="482"/>
      <c r="E72" s="306">
        <v>8126000</v>
      </c>
      <c r="F72" s="387">
        <f t="shared" ref="F72" si="133">(G72/E72)-1</f>
        <v>0.10472557223726309</v>
      </c>
      <c r="G72" s="306">
        <v>8977000</v>
      </c>
      <c r="H72" s="291">
        <v>0.04</v>
      </c>
      <c r="I72" s="292">
        <f t="shared" si="120"/>
        <v>9336080</v>
      </c>
      <c r="J72" s="291">
        <v>0.06</v>
      </c>
      <c r="K72" s="292">
        <f t="shared" si="121"/>
        <v>9515620</v>
      </c>
      <c r="L72" s="398">
        <v>415</v>
      </c>
      <c r="M72" s="404">
        <f t="shared" si="122"/>
        <v>3725455000</v>
      </c>
      <c r="N72" s="398">
        <v>407</v>
      </c>
      <c r="O72" s="269">
        <f t="shared" si="123"/>
        <v>3653639000</v>
      </c>
      <c r="P72" s="397">
        <f t="shared" si="124"/>
        <v>7379094000</v>
      </c>
      <c r="Q72" s="397">
        <f t="shared" si="125"/>
        <v>3372290000</v>
      </c>
      <c r="R72" s="397">
        <f t="shared" si="126"/>
        <v>3725705992</v>
      </c>
      <c r="S72" s="397">
        <f t="shared" si="127"/>
        <v>-250992</v>
      </c>
      <c r="T72" s="397">
        <f t="shared" si="128"/>
        <v>3307282000</v>
      </c>
      <c r="U72" s="269">
        <f t="shared" si="51"/>
        <v>3653885153.5999999</v>
      </c>
      <c r="V72" s="407">
        <f t="shared" si="129"/>
        <v>-246153.59999990463</v>
      </c>
      <c r="W72" s="407">
        <f t="shared" si="130"/>
        <v>-497145.59999990463</v>
      </c>
      <c r="Y72" s="277"/>
      <c r="AA72" s="277"/>
      <c r="AB72" s="278"/>
      <c r="AC72" s="278"/>
      <c r="AD72" s="278"/>
      <c r="AE72" s="278"/>
      <c r="AF72" s="278"/>
      <c r="AG72" s="277"/>
    </row>
    <row r="73" spans="1:33" s="141" customFormat="1" ht="23.25" customHeight="1" x14ac:dyDescent="0.45">
      <c r="B73" s="79" t="s">
        <v>117</v>
      </c>
      <c r="C73" s="342"/>
      <c r="D73" s="343"/>
      <c r="E73" s="307">
        <f>SUM(E13:E72)</f>
        <v>561120000</v>
      </c>
      <c r="F73" s="383" t="s">
        <v>118</v>
      </c>
      <c r="G73" s="307">
        <f>SUM(G13:G72)</f>
        <v>622633000</v>
      </c>
      <c r="H73" s="340"/>
      <c r="I73" s="307">
        <f>SUM(I13:I72)</f>
        <v>647538320</v>
      </c>
      <c r="J73" s="340"/>
      <c r="K73" s="307">
        <f t="shared" ref="K73:W73" si="134">SUM(K13:K72)</f>
        <v>659990980</v>
      </c>
      <c r="L73" s="374">
        <f t="shared" si="134"/>
        <v>6726</v>
      </c>
      <c r="M73" s="377">
        <f t="shared" si="134"/>
        <v>84130933000</v>
      </c>
      <c r="N73" s="374">
        <f t="shared" si="134"/>
        <v>6787</v>
      </c>
      <c r="O73" s="377">
        <f>SUM(O13:O72)</f>
        <v>84656813000</v>
      </c>
      <c r="P73" s="377">
        <f t="shared" si="134"/>
        <v>168787746000</v>
      </c>
      <c r="Q73" s="377">
        <f t="shared" si="134"/>
        <v>76068406648.009384</v>
      </c>
      <c r="R73" s="377">
        <f t="shared" si="134"/>
        <v>84040375664.720779</v>
      </c>
      <c r="S73" s="377">
        <f t="shared" si="134"/>
        <v>90557335.279226363</v>
      </c>
      <c r="T73" s="377">
        <f t="shared" si="134"/>
        <v>76539216392.469223</v>
      </c>
      <c r="U73" s="377">
        <f t="shared" si="134"/>
        <v>84560526270.400024</v>
      </c>
      <c r="V73" s="377">
        <f t="shared" si="134"/>
        <v>96286729.600003958</v>
      </c>
      <c r="W73" s="377">
        <f t="shared" si="134"/>
        <v>186844064.87923032</v>
      </c>
      <c r="X73" s="281"/>
      <c r="Y73" s="280"/>
      <c r="AA73" s="280"/>
      <c r="AB73" s="281"/>
      <c r="AC73" s="281"/>
      <c r="AD73" s="281"/>
      <c r="AE73" s="281"/>
      <c r="AF73" s="281"/>
      <c r="AG73" s="280"/>
    </row>
    <row r="74" spans="1:33" s="141" customFormat="1" ht="26.25" customHeight="1" thickBot="1" x14ac:dyDescent="0.4">
      <c r="A74" s="141" t="s">
        <v>144</v>
      </c>
      <c r="B74" s="85" t="s">
        <v>119</v>
      </c>
      <c r="C74" s="89"/>
      <c r="D74" s="344"/>
      <c r="E74" s="162"/>
      <c r="F74" s="383"/>
      <c r="G74" s="308">
        <f>+SUMPRODUCT(G13:G72,F13:F72)/G73</f>
        <v>0.10964790489724746</v>
      </c>
      <c r="H74" s="341"/>
      <c r="I74" s="341"/>
      <c r="J74" s="341"/>
      <c r="K74" s="341"/>
      <c r="L74" s="375"/>
      <c r="M74" s="332"/>
      <c r="N74" s="375"/>
      <c r="O74" s="396"/>
      <c r="P74" s="322"/>
      <c r="Q74" s="308"/>
      <c r="R74" s="308"/>
      <c r="S74" s="308"/>
      <c r="T74" s="308"/>
      <c r="U74" s="308"/>
      <c r="V74" s="308"/>
      <c r="W74" s="308"/>
      <c r="X74" s="281"/>
      <c r="Y74" s="283"/>
      <c r="AA74" s="280"/>
      <c r="AB74" s="281"/>
      <c r="AC74" s="281"/>
      <c r="AD74" s="281"/>
      <c r="AE74" s="281"/>
      <c r="AF74" s="281"/>
      <c r="AG74" s="280"/>
    </row>
    <row r="75" spans="1:33" s="141" customFormat="1" ht="24" customHeight="1" outlineLevel="1" thickBot="1" x14ac:dyDescent="0.3">
      <c r="B75" s="72" t="s">
        <v>120</v>
      </c>
      <c r="C75" s="73"/>
      <c r="D75" s="345"/>
      <c r="E75" s="164"/>
      <c r="F75" s="383"/>
      <c r="G75" s="309"/>
      <c r="H75" s="309"/>
      <c r="I75" s="309"/>
      <c r="J75" s="309"/>
      <c r="K75" s="309"/>
      <c r="L75" s="164"/>
      <c r="M75" s="309"/>
      <c r="N75" s="164"/>
      <c r="O75" s="309"/>
      <c r="P75" s="309"/>
      <c r="Q75" s="309"/>
      <c r="R75" s="309"/>
      <c r="S75" s="309"/>
      <c r="T75" s="309"/>
      <c r="U75" s="309"/>
      <c r="V75" s="309"/>
      <c r="W75" s="309"/>
      <c r="Y75" s="280"/>
      <c r="AA75" s="280"/>
      <c r="AB75" s="281"/>
      <c r="AC75" s="281"/>
      <c r="AD75" s="281"/>
      <c r="AE75" s="281"/>
      <c r="AF75" s="281"/>
      <c r="AG75" s="280"/>
    </row>
    <row r="76" spans="1:33" s="141" customFormat="1" ht="11.5" outlineLevel="1" x14ac:dyDescent="0.25">
      <c r="B76" s="62" t="s">
        <v>38</v>
      </c>
      <c r="C76" s="62"/>
      <c r="D76" s="115"/>
      <c r="E76" s="159"/>
      <c r="F76" s="383"/>
      <c r="G76" s="93"/>
      <c r="H76" s="93"/>
      <c r="I76" s="93"/>
      <c r="J76" s="93"/>
      <c r="K76" s="93"/>
      <c r="L76" s="165"/>
      <c r="M76" s="93"/>
      <c r="N76" s="165"/>
      <c r="O76" s="93"/>
      <c r="P76" s="93"/>
      <c r="Q76" s="93"/>
      <c r="R76" s="93"/>
      <c r="S76" s="93"/>
      <c r="T76" s="93"/>
      <c r="U76" s="93"/>
      <c r="V76" s="93"/>
      <c r="W76" s="93"/>
      <c r="Y76" s="280"/>
      <c r="AA76" s="280"/>
      <c r="AB76" s="281"/>
      <c r="AC76" s="281"/>
      <c r="AD76" s="281"/>
      <c r="AE76" s="281"/>
      <c r="AF76" s="281"/>
      <c r="AG76" s="280"/>
    </row>
    <row r="77" spans="1:33" s="276" customFormat="1" ht="11.5" outlineLevel="1" x14ac:dyDescent="0.25">
      <c r="B77" s="128" t="s">
        <v>340</v>
      </c>
      <c r="C77" s="128">
        <v>103047</v>
      </c>
      <c r="D77" s="476">
        <v>48</v>
      </c>
      <c r="E77" s="305">
        <v>11953000</v>
      </c>
      <c r="F77" s="387">
        <f t="shared" ref="F77:F95" si="135">(G77/E77)-1</f>
        <v>0.1147828996904543</v>
      </c>
      <c r="G77" s="305">
        <v>13325000</v>
      </c>
      <c r="H77" s="321">
        <v>0.04</v>
      </c>
      <c r="I77" s="335">
        <f t="shared" ref="I77" si="136">+(G77*H77)+G77</f>
        <v>13858000</v>
      </c>
      <c r="J77" s="321">
        <v>0.06</v>
      </c>
      <c r="K77" s="335">
        <f t="shared" ref="K77" si="137">+(G77*J77)+G77</f>
        <v>14124500</v>
      </c>
      <c r="L77" s="398"/>
      <c r="M77" s="404">
        <f t="shared" ref="M77:M96" si="138">+L77*G77</f>
        <v>0</v>
      </c>
      <c r="N77" s="398">
        <v>18</v>
      </c>
      <c r="O77" s="402">
        <f t="shared" ref="O77:O96" si="139">+N77*G77</f>
        <v>239850000</v>
      </c>
      <c r="P77" s="397">
        <f t="shared" ref="P77:P96" si="140">+M77+O77</f>
        <v>239850000</v>
      </c>
      <c r="Q77" s="397">
        <f t="shared" ref="Q77:Q96" si="141">M77/(1+F77)</f>
        <v>0</v>
      </c>
      <c r="R77" s="397">
        <f t="shared" ref="R77:R96" si="142">($Q77*$R$10)+$Q77</f>
        <v>0</v>
      </c>
      <c r="S77" s="397">
        <f t="shared" ref="S77:S96" si="143">M77-R77</f>
        <v>0</v>
      </c>
      <c r="T77" s="397">
        <f t="shared" ref="T77:T96" si="144">O77/(1+F77)</f>
        <v>215154000</v>
      </c>
      <c r="U77" s="402">
        <f t="shared" ref="U77:U113" si="145">($T77*$U$10)+$T77</f>
        <v>237702139.19999999</v>
      </c>
      <c r="V77" s="397">
        <f t="shared" ref="V77:V96" si="146">O77-U77</f>
        <v>2147860.8000000119</v>
      </c>
      <c r="W77" s="407">
        <f t="shared" ref="W77:W96" si="147">S77+V77</f>
        <v>2147860.8000000119</v>
      </c>
      <c r="Y77" s="277"/>
      <c r="AA77" s="277"/>
      <c r="AB77" s="278"/>
      <c r="AC77" s="278"/>
      <c r="AD77" s="278"/>
      <c r="AE77" s="278"/>
      <c r="AF77" s="278"/>
      <c r="AG77" s="277"/>
    </row>
    <row r="78" spans="1:33" s="276" customFormat="1" ht="11.5" outlineLevel="1" x14ac:dyDescent="0.25">
      <c r="B78" s="128" t="s">
        <v>63</v>
      </c>
      <c r="C78" s="128">
        <v>103047</v>
      </c>
      <c r="D78" s="477">
        <v>48</v>
      </c>
      <c r="E78" s="305">
        <v>11953000</v>
      </c>
      <c r="F78" s="387">
        <f t="shared" ref="F78" si="148">(G78/E78)-1</f>
        <v>0.10474357901781972</v>
      </c>
      <c r="G78" s="305">
        <v>13205000</v>
      </c>
      <c r="H78" s="321">
        <v>0.04</v>
      </c>
      <c r="I78" s="335">
        <f t="shared" ref="I78:I96" si="149">+(G78*H78)+G78</f>
        <v>13733200</v>
      </c>
      <c r="J78" s="321">
        <v>0.06</v>
      </c>
      <c r="K78" s="335">
        <f t="shared" ref="K78:K96" si="150">+(G78*J78)+G78</f>
        <v>13997300</v>
      </c>
      <c r="L78" s="398">
        <v>21</v>
      </c>
      <c r="M78" s="404">
        <f t="shared" si="138"/>
        <v>277305000</v>
      </c>
      <c r="N78" s="398">
        <v>20</v>
      </c>
      <c r="O78" s="269">
        <f t="shared" si="139"/>
        <v>264100000</v>
      </c>
      <c r="P78" s="397">
        <f t="shared" si="140"/>
        <v>541405000</v>
      </c>
      <c r="Q78" s="397">
        <f t="shared" si="141"/>
        <v>251013000.00000003</v>
      </c>
      <c r="R78" s="397">
        <f t="shared" si="142"/>
        <v>277319162.40000004</v>
      </c>
      <c r="S78" s="397">
        <f t="shared" si="143"/>
        <v>-14162.400000035763</v>
      </c>
      <c r="T78" s="397">
        <f t="shared" si="144"/>
        <v>239060000.00000003</v>
      </c>
      <c r="U78" s="269">
        <f t="shared" si="145"/>
        <v>264113488.00000003</v>
      </c>
      <c r="V78" s="407">
        <f t="shared" si="146"/>
        <v>-13488.000000029802</v>
      </c>
      <c r="W78" s="407">
        <f t="shared" si="147"/>
        <v>-27650.400000065565</v>
      </c>
      <c r="Y78" s="277"/>
      <c r="AA78" s="277"/>
      <c r="AB78" s="278"/>
      <c r="AC78" s="278"/>
      <c r="AD78" s="278"/>
      <c r="AE78" s="278"/>
      <c r="AF78" s="278"/>
      <c r="AG78" s="277"/>
    </row>
    <row r="79" spans="1:33" s="276" customFormat="1" ht="11.5" outlineLevel="1" x14ac:dyDescent="0.25">
      <c r="B79" s="128" t="s">
        <v>341</v>
      </c>
      <c r="C79" s="128">
        <v>105878</v>
      </c>
      <c r="D79" s="476">
        <v>191</v>
      </c>
      <c r="E79" s="305">
        <v>19350000</v>
      </c>
      <c r="F79" s="387">
        <f t="shared" si="135"/>
        <v>0.11478036175710593</v>
      </c>
      <c r="G79" s="305">
        <v>21571000</v>
      </c>
      <c r="H79" s="321">
        <v>0.04</v>
      </c>
      <c r="I79" s="335">
        <f t="shared" si="149"/>
        <v>22433840</v>
      </c>
      <c r="J79" s="321">
        <v>0.06</v>
      </c>
      <c r="K79" s="335">
        <f t="shared" si="150"/>
        <v>22865260</v>
      </c>
      <c r="L79" s="398">
        <v>4</v>
      </c>
      <c r="M79" s="404">
        <f t="shared" si="138"/>
        <v>86284000</v>
      </c>
      <c r="N79" s="398">
        <v>4</v>
      </c>
      <c r="O79" s="402">
        <f t="shared" si="139"/>
        <v>86284000</v>
      </c>
      <c r="P79" s="397">
        <f t="shared" si="140"/>
        <v>172568000</v>
      </c>
      <c r="Q79" s="397">
        <f t="shared" si="141"/>
        <v>77400000</v>
      </c>
      <c r="R79" s="397">
        <f t="shared" si="142"/>
        <v>85511520</v>
      </c>
      <c r="S79" s="397">
        <f t="shared" si="143"/>
        <v>772480</v>
      </c>
      <c r="T79" s="397">
        <f t="shared" si="144"/>
        <v>77400000</v>
      </c>
      <c r="U79" s="402">
        <f t="shared" si="145"/>
        <v>85511520</v>
      </c>
      <c r="V79" s="397">
        <f t="shared" si="146"/>
        <v>772480</v>
      </c>
      <c r="W79" s="407">
        <f t="shared" si="147"/>
        <v>1544960</v>
      </c>
      <c r="Y79" s="277"/>
      <c r="AA79" s="277"/>
      <c r="AB79" s="278"/>
      <c r="AC79" s="278"/>
      <c r="AD79" s="278"/>
      <c r="AE79" s="278"/>
      <c r="AF79" s="278"/>
      <c r="AG79" s="277"/>
    </row>
    <row r="80" spans="1:33" s="276" customFormat="1" ht="11.5" outlineLevel="1" x14ac:dyDescent="0.25">
      <c r="B80" s="128" t="s">
        <v>129</v>
      </c>
      <c r="C80" s="128">
        <v>105878</v>
      </c>
      <c r="D80" s="477">
        <v>191</v>
      </c>
      <c r="E80" s="305">
        <v>19350000</v>
      </c>
      <c r="F80" s="387">
        <f t="shared" ref="F80" si="151">(G80/E80)-1</f>
        <v>0.1047545219638244</v>
      </c>
      <c r="G80" s="305">
        <v>21377000</v>
      </c>
      <c r="H80" s="321">
        <v>0.04</v>
      </c>
      <c r="I80" s="335">
        <f t="shared" si="149"/>
        <v>22232080</v>
      </c>
      <c r="J80" s="321">
        <v>0.06</v>
      </c>
      <c r="K80" s="335">
        <f t="shared" si="150"/>
        <v>22659620</v>
      </c>
      <c r="L80" s="398">
        <v>17</v>
      </c>
      <c r="M80" s="404">
        <f t="shared" si="138"/>
        <v>363409000</v>
      </c>
      <c r="N80" s="398">
        <v>17</v>
      </c>
      <c r="O80" s="269">
        <f t="shared" si="139"/>
        <v>363409000</v>
      </c>
      <c r="P80" s="397">
        <f t="shared" si="140"/>
        <v>726818000</v>
      </c>
      <c r="Q80" s="397">
        <f t="shared" si="141"/>
        <v>328949999.99999994</v>
      </c>
      <c r="R80" s="397">
        <f t="shared" si="142"/>
        <v>363423959.99999994</v>
      </c>
      <c r="S80" s="397">
        <f t="shared" si="143"/>
        <v>-14959.999999940395</v>
      </c>
      <c r="T80" s="397">
        <f t="shared" si="144"/>
        <v>328949999.99999994</v>
      </c>
      <c r="U80" s="269">
        <f t="shared" si="145"/>
        <v>363423959.99999994</v>
      </c>
      <c r="V80" s="407">
        <f t="shared" si="146"/>
        <v>-14959.999999940395</v>
      </c>
      <c r="W80" s="407">
        <f t="shared" si="147"/>
        <v>-29919.999999880791</v>
      </c>
      <c r="Y80" s="277"/>
      <c r="AA80" s="277"/>
      <c r="AB80" s="278"/>
      <c r="AC80" s="278"/>
      <c r="AD80" s="278"/>
      <c r="AE80" s="278"/>
      <c r="AF80" s="278"/>
      <c r="AG80" s="277"/>
    </row>
    <row r="81" spans="2:33" s="276" customFormat="1" ht="11.5" outlineLevel="1" x14ac:dyDescent="0.25">
      <c r="B81" s="128" t="s">
        <v>342</v>
      </c>
      <c r="C81" s="128">
        <v>106180</v>
      </c>
      <c r="D81" s="476">
        <v>197</v>
      </c>
      <c r="E81" s="305">
        <v>19350000</v>
      </c>
      <c r="F81" s="387">
        <f t="shared" si="135"/>
        <v>0.11478036175710593</v>
      </c>
      <c r="G81" s="305">
        <v>21571000</v>
      </c>
      <c r="H81" s="321">
        <v>0.04</v>
      </c>
      <c r="I81" s="335">
        <f t="shared" si="149"/>
        <v>22433840</v>
      </c>
      <c r="J81" s="321">
        <v>0.06</v>
      </c>
      <c r="K81" s="335">
        <f t="shared" si="150"/>
        <v>22865260</v>
      </c>
      <c r="L81" s="398">
        <v>6</v>
      </c>
      <c r="M81" s="404">
        <f t="shared" si="138"/>
        <v>129426000</v>
      </c>
      <c r="N81" s="398">
        <v>6</v>
      </c>
      <c r="O81" s="402">
        <f t="shared" si="139"/>
        <v>129426000</v>
      </c>
      <c r="P81" s="397">
        <f t="shared" si="140"/>
        <v>258852000</v>
      </c>
      <c r="Q81" s="397">
        <f t="shared" si="141"/>
        <v>116100000</v>
      </c>
      <c r="R81" s="397">
        <f t="shared" si="142"/>
        <v>128267280</v>
      </c>
      <c r="S81" s="397">
        <f t="shared" si="143"/>
        <v>1158720</v>
      </c>
      <c r="T81" s="397">
        <f t="shared" si="144"/>
        <v>116100000</v>
      </c>
      <c r="U81" s="402">
        <f t="shared" si="145"/>
        <v>128267280</v>
      </c>
      <c r="V81" s="397">
        <f t="shared" si="146"/>
        <v>1158720</v>
      </c>
      <c r="W81" s="407">
        <f t="shared" si="147"/>
        <v>2317440</v>
      </c>
      <c r="Y81" s="277"/>
      <c r="AA81" s="277"/>
      <c r="AB81" s="278"/>
      <c r="AC81" s="278"/>
      <c r="AD81" s="278"/>
      <c r="AE81" s="278"/>
      <c r="AF81" s="278"/>
      <c r="AG81" s="277"/>
    </row>
    <row r="82" spans="2:33" s="276" customFormat="1" ht="11.5" outlineLevel="1" x14ac:dyDescent="0.25">
      <c r="B82" s="128" t="s">
        <v>128</v>
      </c>
      <c r="C82" s="128">
        <v>106180</v>
      </c>
      <c r="D82" s="477">
        <v>197</v>
      </c>
      <c r="E82" s="305">
        <v>19350000</v>
      </c>
      <c r="F82" s="387">
        <f t="shared" ref="F82" si="152">(G82/E82)-1</f>
        <v>0.1047545219638244</v>
      </c>
      <c r="G82" s="305">
        <v>21377000</v>
      </c>
      <c r="H82" s="321">
        <v>0.04</v>
      </c>
      <c r="I82" s="335">
        <f t="shared" si="149"/>
        <v>22232080</v>
      </c>
      <c r="J82" s="321">
        <v>0.06</v>
      </c>
      <c r="K82" s="335">
        <f t="shared" si="150"/>
        <v>22659620</v>
      </c>
      <c r="L82" s="398">
        <v>32</v>
      </c>
      <c r="M82" s="404">
        <f t="shared" si="138"/>
        <v>684064000</v>
      </c>
      <c r="N82" s="398">
        <v>31</v>
      </c>
      <c r="O82" s="269">
        <f t="shared" si="139"/>
        <v>662687000</v>
      </c>
      <c r="P82" s="397">
        <f t="shared" si="140"/>
        <v>1346751000</v>
      </c>
      <c r="Q82" s="397">
        <f t="shared" si="141"/>
        <v>619199999.99999988</v>
      </c>
      <c r="R82" s="397">
        <f t="shared" si="142"/>
        <v>684092159.99999988</v>
      </c>
      <c r="S82" s="397">
        <f t="shared" si="143"/>
        <v>-28159.999999880791</v>
      </c>
      <c r="T82" s="397">
        <f t="shared" si="144"/>
        <v>599850000</v>
      </c>
      <c r="U82" s="269">
        <f t="shared" si="145"/>
        <v>662714280</v>
      </c>
      <c r="V82" s="407">
        <f t="shared" si="146"/>
        <v>-27280</v>
      </c>
      <c r="W82" s="407">
        <f t="shared" si="147"/>
        <v>-55439.999999880791</v>
      </c>
      <c r="Y82" s="277"/>
      <c r="AA82" s="277"/>
      <c r="AB82" s="278"/>
      <c r="AC82" s="278"/>
      <c r="AD82" s="278"/>
      <c r="AE82" s="278"/>
      <c r="AF82" s="278"/>
      <c r="AG82" s="277"/>
    </row>
    <row r="83" spans="2:33" s="276" customFormat="1" ht="11.5" outlineLevel="1" x14ac:dyDescent="0.25">
      <c r="B83" s="128" t="s">
        <v>343</v>
      </c>
      <c r="C83" s="128">
        <v>106387</v>
      </c>
      <c r="D83" s="476">
        <v>198</v>
      </c>
      <c r="E83" s="305">
        <v>15292000</v>
      </c>
      <c r="F83" s="387">
        <f t="shared" si="135"/>
        <v>0.11476589066178389</v>
      </c>
      <c r="G83" s="305">
        <v>17047000</v>
      </c>
      <c r="H83" s="321">
        <v>0.04</v>
      </c>
      <c r="I83" s="335">
        <f t="shared" si="149"/>
        <v>17728880</v>
      </c>
      <c r="J83" s="321">
        <v>0.06</v>
      </c>
      <c r="K83" s="335">
        <f t="shared" si="150"/>
        <v>18069820</v>
      </c>
      <c r="L83" s="398">
        <v>7</v>
      </c>
      <c r="M83" s="404">
        <f t="shared" si="138"/>
        <v>119329000</v>
      </c>
      <c r="N83" s="398">
        <v>7</v>
      </c>
      <c r="O83" s="402">
        <f t="shared" si="139"/>
        <v>119329000</v>
      </c>
      <c r="P83" s="397">
        <f t="shared" si="140"/>
        <v>238658000</v>
      </c>
      <c r="Q83" s="397">
        <f t="shared" si="141"/>
        <v>107044000</v>
      </c>
      <c r="R83" s="397">
        <f t="shared" si="142"/>
        <v>118262211.2</v>
      </c>
      <c r="S83" s="397">
        <f t="shared" si="143"/>
        <v>1066788.799999997</v>
      </c>
      <c r="T83" s="397">
        <f t="shared" si="144"/>
        <v>107044000</v>
      </c>
      <c r="U83" s="402">
        <f t="shared" si="145"/>
        <v>118262211.2</v>
      </c>
      <c r="V83" s="397">
        <f t="shared" si="146"/>
        <v>1066788.799999997</v>
      </c>
      <c r="W83" s="407">
        <f t="shared" si="147"/>
        <v>2133577.599999994</v>
      </c>
      <c r="Y83" s="277"/>
      <c r="AA83" s="277"/>
      <c r="AB83" s="278"/>
      <c r="AC83" s="278"/>
      <c r="AD83" s="278"/>
      <c r="AE83" s="278"/>
      <c r="AF83" s="278"/>
      <c r="AG83" s="277"/>
    </row>
    <row r="84" spans="2:33" s="276" customFormat="1" ht="11.5" outlineLevel="1" x14ac:dyDescent="0.25">
      <c r="B84" s="128" t="s">
        <v>131</v>
      </c>
      <c r="C84" s="128">
        <v>106387</v>
      </c>
      <c r="D84" s="477">
        <v>198</v>
      </c>
      <c r="E84" s="305">
        <v>15292000</v>
      </c>
      <c r="F84" s="387">
        <f t="shared" ref="F84" si="153">(G84/E84)-1</f>
        <v>0.10476065916819244</v>
      </c>
      <c r="G84" s="305">
        <v>16894000</v>
      </c>
      <c r="H84" s="321">
        <v>0.04</v>
      </c>
      <c r="I84" s="335">
        <f t="shared" si="149"/>
        <v>17569760</v>
      </c>
      <c r="J84" s="321">
        <v>0.06</v>
      </c>
      <c r="K84" s="335">
        <f t="shared" si="150"/>
        <v>17907640</v>
      </c>
      <c r="L84" s="398">
        <v>30</v>
      </c>
      <c r="M84" s="404">
        <f t="shared" si="138"/>
        <v>506820000</v>
      </c>
      <c r="N84" s="398">
        <v>30</v>
      </c>
      <c r="O84" s="269">
        <f t="shared" si="139"/>
        <v>506820000</v>
      </c>
      <c r="P84" s="397">
        <f t="shared" si="140"/>
        <v>1013640000</v>
      </c>
      <c r="Q84" s="397">
        <f t="shared" si="141"/>
        <v>458760000.00000006</v>
      </c>
      <c r="R84" s="397">
        <f t="shared" si="142"/>
        <v>506838048.00000006</v>
      </c>
      <c r="S84" s="397">
        <f t="shared" si="143"/>
        <v>-18048.000000059605</v>
      </c>
      <c r="T84" s="397">
        <f t="shared" si="144"/>
        <v>458760000.00000006</v>
      </c>
      <c r="U84" s="269">
        <f t="shared" si="145"/>
        <v>506838048.00000006</v>
      </c>
      <c r="V84" s="407">
        <f t="shared" si="146"/>
        <v>-18048.000000059605</v>
      </c>
      <c r="W84" s="407">
        <f t="shared" si="147"/>
        <v>-36096.000000119209</v>
      </c>
      <c r="Y84" s="277"/>
      <c r="AA84" s="277"/>
      <c r="AB84" s="278"/>
      <c r="AC84" s="278"/>
      <c r="AD84" s="278"/>
      <c r="AE84" s="278"/>
      <c r="AF84" s="278"/>
      <c r="AG84" s="277"/>
    </row>
    <row r="85" spans="2:33" s="276" customFormat="1" ht="11.5" outlineLevel="1" x14ac:dyDescent="0.25">
      <c r="B85" s="128" t="s">
        <v>344</v>
      </c>
      <c r="C85" s="128">
        <v>107467</v>
      </c>
      <c r="D85" s="476">
        <v>175</v>
      </c>
      <c r="E85" s="305">
        <v>15292000</v>
      </c>
      <c r="F85" s="387">
        <f t="shared" si="135"/>
        <v>0.11476589066178389</v>
      </c>
      <c r="G85" s="305">
        <v>17047000</v>
      </c>
      <c r="H85" s="321">
        <v>0.04</v>
      </c>
      <c r="I85" s="335">
        <f t="shared" si="149"/>
        <v>17728880</v>
      </c>
      <c r="J85" s="321">
        <v>0.06</v>
      </c>
      <c r="K85" s="335">
        <f t="shared" si="150"/>
        <v>18069820</v>
      </c>
      <c r="L85" s="398">
        <v>6</v>
      </c>
      <c r="M85" s="404">
        <f t="shared" si="138"/>
        <v>102282000</v>
      </c>
      <c r="N85" s="398">
        <v>6</v>
      </c>
      <c r="O85" s="402">
        <f t="shared" si="139"/>
        <v>102282000</v>
      </c>
      <c r="P85" s="397">
        <f t="shared" si="140"/>
        <v>204564000</v>
      </c>
      <c r="Q85" s="397">
        <f t="shared" si="141"/>
        <v>91752000</v>
      </c>
      <c r="R85" s="397">
        <f t="shared" si="142"/>
        <v>101367609.59999999</v>
      </c>
      <c r="S85" s="397">
        <f t="shared" si="143"/>
        <v>914390.40000000596</v>
      </c>
      <c r="T85" s="397">
        <f t="shared" si="144"/>
        <v>91752000</v>
      </c>
      <c r="U85" s="402">
        <f t="shared" si="145"/>
        <v>101367609.59999999</v>
      </c>
      <c r="V85" s="397">
        <f t="shared" si="146"/>
        <v>914390.40000000596</v>
      </c>
      <c r="W85" s="407">
        <f t="shared" si="147"/>
        <v>1828780.8000000119</v>
      </c>
      <c r="Y85" s="277"/>
      <c r="AA85" s="277"/>
      <c r="AB85" s="278"/>
      <c r="AC85" s="278"/>
      <c r="AD85" s="278"/>
      <c r="AE85" s="278"/>
      <c r="AF85" s="278"/>
      <c r="AG85" s="277"/>
    </row>
    <row r="86" spans="2:33" s="276" customFormat="1" ht="11.5" outlineLevel="1" x14ac:dyDescent="0.25">
      <c r="B86" s="128" t="s">
        <v>250</v>
      </c>
      <c r="C86" s="128">
        <v>107467</v>
      </c>
      <c r="D86" s="477">
        <v>175</v>
      </c>
      <c r="E86" s="305">
        <v>15292000</v>
      </c>
      <c r="F86" s="387">
        <f t="shared" ref="F86" si="154">(G86/E86)-1</f>
        <v>0.10476065916819244</v>
      </c>
      <c r="G86" s="305">
        <v>16894000</v>
      </c>
      <c r="H86" s="321">
        <v>0.04</v>
      </c>
      <c r="I86" s="335">
        <f t="shared" si="149"/>
        <v>17569760</v>
      </c>
      <c r="J86" s="321">
        <v>0.06</v>
      </c>
      <c r="K86" s="335">
        <f t="shared" si="150"/>
        <v>17907640</v>
      </c>
      <c r="L86" s="398">
        <v>25</v>
      </c>
      <c r="M86" s="404">
        <f t="shared" si="138"/>
        <v>422350000</v>
      </c>
      <c r="N86" s="398">
        <v>25</v>
      </c>
      <c r="O86" s="269">
        <f t="shared" si="139"/>
        <v>422350000</v>
      </c>
      <c r="P86" s="397">
        <f t="shared" si="140"/>
        <v>844700000</v>
      </c>
      <c r="Q86" s="397">
        <f t="shared" si="141"/>
        <v>382300000</v>
      </c>
      <c r="R86" s="397">
        <f t="shared" si="142"/>
        <v>422365040</v>
      </c>
      <c r="S86" s="397">
        <f t="shared" si="143"/>
        <v>-15040</v>
      </c>
      <c r="T86" s="397">
        <f t="shared" si="144"/>
        <v>382300000</v>
      </c>
      <c r="U86" s="269">
        <f t="shared" si="145"/>
        <v>422365040</v>
      </c>
      <c r="V86" s="407">
        <f t="shared" si="146"/>
        <v>-15040</v>
      </c>
      <c r="W86" s="407">
        <f t="shared" si="147"/>
        <v>-30080</v>
      </c>
      <c r="Y86" s="277"/>
      <c r="AA86" s="277"/>
      <c r="AB86" s="278"/>
      <c r="AC86" s="278"/>
      <c r="AD86" s="278"/>
      <c r="AE86" s="278"/>
      <c r="AF86" s="278"/>
      <c r="AG86" s="277"/>
    </row>
    <row r="87" spans="2:33" s="276" customFormat="1" ht="11.5" outlineLevel="1" x14ac:dyDescent="0.25">
      <c r="B87" s="128" t="s">
        <v>345</v>
      </c>
      <c r="C87" s="128">
        <v>109093</v>
      </c>
      <c r="D87" s="476">
        <v>133</v>
      </c>
      <c r="E87" s="305">
        <v>15572000</v>
      </c>
      <c r="F87" s="387">
        <f t="shared" si="135"/>
        <v>0.11475725661443614</v>
      </c>
      <c r="G87" s="305">
        <v>17359000</v>
      </c>
      <c r="H87" s="321">
        <v>0.04</v>
      </c>
      <c r="I87" s="335">
        <f t="shared" si="149"/>
        <v>18053360</v>
      </c>
      <c r="J87" s="321">
        <v>0.06</v>
      </c>
      <c r="K87" s="335">
        <f t="shared" si="150"/>
        <v>18400540</v>
      </c>
      <c r="L87" s="398">
        <v>1</v>
      </c>
      <c r="M87" s="404">
        <f t="shared" si="138"/>
        <v>17359000</v>
      </c>
      <c r="N87" s="398">
        <v>1</v>
      </c>
      <c r="O87" s="402">
        <f t="shared" si="139"/>
        <v>17359000</v>
      </c>
      <c r="P87" s="397">
        <f t="shared" si="140"/>
        <v>34718000</v>
      </c>
      <c r="Q87" s="397">
        <f t="shared" si="141"/>
        <v>15572000</v>
      </c>
      <c r="R87" s="397">
        <f t="shared" si="142"/>
        <v>17203945.600000001</v>
      </c>
      <c r="S87" s="397">
        <f t="shared" si="143"/>
        <v>155054.39999999851</v>
      </c>
      <c r="T87" s="397">
        <f t="shared" si="144"/>
        <v>15572000</v>
      </c>
      <c r="U87" s="402">
        <f t="shared" si="145"/>
        <v>17203945.600000001</v>
      </c>
      <c r="V87" s="397">
        <f t="shared" si="146"/>
        <v>155054.39999999851</v>
      </c>
      <c r="W87" s="407">
        <f t="shared" si="147"/>
        <v>310108.79999999702</v>
      </c>
      <c r="Y87" s="277"/>
      <c r="AA87" s="277"/>
      <c r="AB87" s="278"/>
      <c r="AC87" s="278"/>
      <c r="AD87" s="278"/>
      <c r="AE87" s="278"/>
      <c r="AF87" s="278"/>
      <c r="AG87" s="277"/>
    </row>
    <row r="88" spans="2:33" s="276" customFormat="1" ht="11.5" outlineLevel="1" x14ac:dyDescent="0.25">
      <c r="B88" s="128" t="s">
        <v>257</v>
      </c>
      <c r="C88" s="128">
        <v>109093</v>
      </c>
      <c r="D88" s="477">
        <v>133</v>
      </c>
      <c r="E88" s="305">
        <v>15572000</v>
      </c>
      <c r="F88" s="387">
        <f t="shared" ref="F88" si="155">(G88/E88)-1</f>
        <v>0.10473927562291285</v>
      </c>
      <c r="G88" s="305">
        <v>17203000</v>
      </c>
      <c r="H88" s="321">
        <v>0.04</v>
      </c>
      <c r="I88" s="335">
        <f t="shared" si="149"/>
        <v>17891120</v>
      </c>
      <c r="J88" s="321">
        <v>0.06</v>
      </c>
      <c r="K88" s="335">
        <f t="shared" si="150"/>
        <v>18235180</v>
      </c>
      <c r="L88" s="398">
        <v>3</v>
      </c>
      <c r="M88" s="404">
        <f t="shared" si="138"/>
        <v>51609000</v>
      </c>
      <c r="N88" s="398">
        <v>3</v>
      </c>
      <c r="O88" s="269">
        <f t="shared" si="139"/>
        <v>51609000</v>
      </c>
      <c r="P88" s="397">
        <f t="shared" si="140"/>
        <v>103218000</v>
      </c>
      <c r="Q88" s="397">
        <f t="shared" si="141"/>
        <v>46716000</v>
      </c>
      <c r="R88" s="397">
        <f t="shared" si="142"/>
        <v>51611836.799999997</v>
      </c>
      <c r="S88" s="397">
        <f t="shared" si="143"/>
        <v>-2836.7999999970198</v>
      </c>
      <c r="T88" s="397">
        <f t="shared" si="144"/>
        <v>46716000</v>
      </c>
      <c r="U88" s="269">
        <f t="shared" si="145"/>
        <v>51611836.799999997</v>
      </c>
      <c r="V88" s="407">
        <f t="shared" si="146"/>
        <v>-2836.7999999970198</v>
      </c>
      <c r="W88" s="407">
        <f t="shared" si="147"/>
        <v>-5673.5999999940395</v>
      </c>
      <c r="Y88" s="277"/>
      <c r="AA88" s="277"/>
      <c r="AB88" s="278"/>
      <c r="AC88" s="278"/>
      <c r="AD88" s="278"/>
      <c r="AE88" s="278"/>
      <c r="AF88" s="278"/>
      <c r="AG88" s="277"/>
    </row>
    <row r="89" spans="2:33" s="276" customFormat="1" ht="11.5" outlineLevel="1" x14ac:dyDescent="0.25">
      <c r="B89" s="128" t="s">
        <v>346</v>
      </c>
      <c r="C89" s="128">
        <v>110090</v>
      </c>
      <c r="D89" s="476">
        <v>132</v>
      </c>
      <c r="E89" s="305">
        <v>19610000</v>
      </c>
      <c r="F89" s="387">
        <f t="shared" si="135"/>
        <v>0.11478837327893943</v>
      </c>
      <c r="G89" s="305">
        <v>21861000</v>
      </c>
      <c r="H89" s="321">
        <v>0.04</v>
      </c>
      <c r="I89" s="335">
        <f t="shared" si="149"/>
        <v>22735440</v>
      </c>
      <c r="J89" s="321">
        <v>0.06</v>
      </c>
      <c r="K89" s="335">
        <f t="shared" si="150"/>
        <v>23172660</v>
      </c>
      <c r="L89" s="398">
        <v>1</v>
      </c>
      <c r="M89" s="404">
        <f t="shared" si="138"/>
        <v>21861000</v>
      </c>
      <c r="N89" s="398">
        <v>1</v>
      </c>
      <c r="O89" s="402">
        <f t="shared" si="139"/>
        <v>21861000</v>
      </c>
      <c r="P89" s="397">
        <f t="shared" si="140"/>
        <v>43722000</v>
      </c>
      <c r="Q89" s="397">
        <f t="shared" si="141"/>
        <v>19609999.999999996</v>
      </c>
      <c r="R89" s="397">
        <f t="shared" si="142"/>
        <v>21665127.999999996</v>
      </c>
      <c r="S89" s="397">
        <f t="shared" si="143"/>
        <v>195872.00000000373</v>
      </c>
      <c r="T89" s="397">
        <f t="shared" si="144"/>
        <v>19609999.999999996</v>
      </c>
      <c r="U89" s="402">
        <f t="shared" si="145"/>
        <v>21665127.999999996</v>
      </c>
      <c r="V89" s="397">
        <f t="shared" si="146"/>
        <v>195872.00000000373</v>
      </c>
      <c r="W89" s="407">
        <f t="shared" si="147"/>
        <v>391744.00000000745</v>
      </c>
      <c r="Y89" s="277"/>
      <c r="AA89" s="277"/>
      <c r="AB89" s="278"/>
      <c r="AC89" s="278"/>
      <c r="AD89" s="278"/>
      <c r="AE89" s="278"/>
      <c r="AF89" s="278"/>
      <c r="AG89" s="277"/>
    </row>
    <row r="90" spans="2:33" s="276" customFormat="1" ht="11.5" outlineLevel="1" x14ac:dyDescent="0.25">
      <c r="B90" s="128" t="s">
        <v>266</v>
      </c>
      <c r="C90" s="128">
        <v>110090</v>
      </c>
      <c r="D90" s="477">
        <v>132</v>
      </c>
      <c r="E90" s="305">
        <v>19610000</v>
      </c>
      <c r="F90" s="387">
        <f t="shared" ref="F90" si="156">(G90/E90)-1</f>
        <v>0.1047934727180011</v>
      </c>
      <c r="G90" s="305">
        <v>21665000</v>
      </c>
      <c r="H90" s="321">
        <v>0.04</v>
      </c>
      <c r="I90" s="335">
        <f t="shared" si="149"/>
        <v>22531600</v>
      </c>
      <c r="J90" s="321">
        <v>0.06</v>
      </c>
      <c r="K90" s="335">
        <f t="shared" si="150"/>
        <v>22964900</v>
      </c>
      <c r="L90" s="398">
        <v>2</v>
      </c>
      <c r="M90" s="404">
        <f t="shared" si="138"/>
        <v>43330000</v>
      </c>
      <c r="N90" s="398">
        <v>2</v>
      </c>
      <c r="O90" s="269">
        <f t="shared" si="139"/>
        <v>43330000</v>
      </c>
      <c r="P90" s="397">
        <f t="shared" si="140"/>
        <v>86660000</v>
      </c>
      <c r="Q90" s="397">
        <f t="shared" si="141"/>
        <v>39220000</v>
      </c>
      <c r="R90" s="397">
        <f t="shared" si="142"/>
        <v>43330256</v>
      </c>
      <c r="S90" s="397">
        <f t="shared" si="143"/>
        <v>-256</v>
      </c>
      <c r="T90" s="397">
        <f t="shared" si="144"/>
        <v>39220000</v>
      </c>
      <c r="U90" s="269">
        <f t="shared" si="145"/>
        <v>43330256</v>
      </c>
      <c r="V90" s="407">
        <f t="shared" si="146"/>
        <v>-256</v>
      </c>
      <c r="W90" s="407">
        <f t="shared" si="147"/>
        <v>-512</v>
      </c>
      <c r="Y90" s="277"/>
      <c r="AA90" s="277"/>
      <c r="AB90" s="278"/>
      <c r="AC90" s="278"/>
      <c r="AD90" s="278"/>
      <c r="AE90" s="278"/>
      <c r="AF90" s="278"/>
      <c r="AG90" s="277"/>
    </row>
    <row r="91" spans="2:33" s="276" customFormat="1" ht="11.5" outlineLevel="1" x14ac:dyDescent="0.25">
      <c r="B91" s="128" t="s">
        <v>347</v>
      </c>
      <c r="C91" s="128">
        <v>110843</v>
      </c>
      <c r="D91" s="476">
        <v>260</v>
      </c>
      <c r="E91" s="305">
        <v>19350000</v>
      </c>
      <c r="F91" s="387">
        <f t="shared" si="135"/>
        <v>0.11478036175710593</v>
      </c>
      <c r="G91" s="305">
        <v>21571000</v>
      </c>
      <c r="H91" s="321">
        <v>0.04</v>
      </c>
      <c r="I91" s="335">
        <f t="shared" si="149"/>
        <v>22433840</v>
      </c>
      <c r="J91" s="321">
        <v>0.06</v>
      </c>
      <c r="K91" s="335">
        <f t="shared" si="150"/>
        <v>22865260</v>
      </c>
      <c r="L91" s="398">
        <v>2</v>
      </c>
      <c r="M91" s="404">
        <f t="shared" si="138"/>
        <v>43142000</v>
      </c>
      <c r="N91" s="398">
        <v>2</v>
      </c>
      <c r="O91" s="402">
        <f t="shared" si="139"/>
        <v>43142000</v>
      </c>
      <c r="P91" s="397">
        <f t="shared" si="140"/>
        <v>86284000</v>
      </c>
      <c r="Q91" s="397">
        <f t="shared" si="141"/>
        <v>38700000</v>
      </c>
      <c r="R91" s="397">
        <f t="shared" si="142"/>
        <v>42755760</v>
      </c>
      <c r="S91" s="397">
        <f t="shared" si="143"/>
        <v>386240</v>
      </c>
      <c r="T91" s="397">
        <f t="shared" si="144"/>
        <v>38700000</v>
      </c>
      <c r="U91" s="402">
        <f t="shared" si="145"/>
        <v>42755760</v>
      </c>
      <c r="V91" s="397">
        <f t="shared" si="146"/>
        <v>386240</v>
      </c>
      <c r="W91" s="407">
        <f t="shared" si="147"/>
        <v>772480</v>
      </c>
      <c r="Y91" s="277"/>
      <c r="AA91" s="277"/>
      <c r="AB91" s="278"/>
      <c r="AC91" s="278"/>
      <c r="AD91" s="278"/>
      <c r="AE91" s="278"/>
      <c r="AF91" s="278"/>
      <c r="AG91" s="277"/>
    </row>
    <row r="92" spans="2:33" s="276" customFormat="1" ht="11.5" outlineLevel="1" x14ac:dyDescent="0.25">
      <c r="B92" s="128" t="s">
        <v>298</v>
      </c>
      <c r="C92" s="128">
        <v>110843</v>
      </c>
      <c r="D92" s="477">
        <v>260</v>
      </c>
      <c r="E92" s="305">
        <v>19350000</v>
      </c>
      <c r="F92" s="387">
        <f t="shared" ref="F92" si="157">(G92/E92)-1</f>
        <v>0.1047545219638244</v>
      </c>
      <c r="G92" s="305">
        <v>21377000</v>
      </c>
      <c r="H92" s="321">
        <v>0.04</v>
      </c>
      <c r="I92" s="335">
        <f t="shared" si="149"/>
        <v>22232080</v>
      </c>
      <c r="J92" s="321">
        <v>0.06</v>
      </c>
      <c r="K92" s="335">
        <f t="shared" si="150"/>
        <v>22659620</v>
      </c>
      <c r="L92" s="398">
        <v>4</v>
      </c>
      <c r="M92" s="404">
        <f t="shared" si="138"/>
        <v>85508000</v>
      </c>
      <c r="N92" s="398">
        <v>5</v>
      </c>
      <c r="O92" s="269">
        <f t="shared" si="139"/>
        <v>106885000</v>
      </c>
      <c r="P92" s="397">
        <f t="shared" si="140"/>
        <v>192393000</v>
      </c>
      <c r="Q92" s="397">
        <f t="shared" si="141"/>
        <v>77399999.999999985</v>
      </c>
      <c r="R92" s="397">
        <f t="shared" si="142"/>
        <v>85511519.999999985</v>
      </c>
      <c r="S92" s="397">
        <f t="shared" si="143"/>
        <v>-3519.9999999850988</v>
      </c>
      <c r="T92" s="397">
        <f t="shared" si="144"/>
        <v>96749999.999999985</v>
      </c>
      <c r="U92" s="269">
        <f t="shared" si="145"/>
        <v>106889399.99999999</v>
      </c>
      <c r="V92" s="407">
        <f t="shared" si="146"/>
        <v>-4399.9999999850988</v>
      </c>
      <c r="W92" s="407">
        <f t="shared" si="147"/>
        <v>-7919.9999999701977</v>
      </c>
      <c r="Y92" s="277"/>
      <c r="AA92" s="277"/>
      <c r="AB92" s="278"/>
      <c r="AC92" s="278"/>
      <c r="AD92" s="278"/>
      <c r="AE92" s="278"/>
      <c r="AF92" s="278"/>
      <c r="AG92" s="277"/>
    </row>
    <row r="93" spans="2:33" s="276" customFormat="1" ht="11.5" outlineLevel="1" x14ac:dyDescent="0.25">
      <c r="B93" s="128" t="s">
        <v>348</v>
      </c>
      <c r="C93" s="128">
        <v>110638</v>
      </c>
      <c r="D93" s="476">
        <v>260</v>
      </c>
      <c r="E93" s="305">
        <v>22163000</v>
      </c>
      <c r="F93" s="387">
        <f t="shared" si="135"/>
        <v>0.11478590443532011</v>
      </c>
      <c r="G93" s="305">
        <v>24707000</v>
      </c>
      <c r="H93" s="321">
        <v>0.04</v>
      </c>
      <c r="I93" s="335">
        <f t="shared" si="149"/>
        <v>25695280</v>
      </c>
      <c r="J93" s="321">
        <v>0.06</v>
      </c>
      <c r="K93" s="335">
        <f t="shared" si="150"/>
        <v>26189420</v>
      </c>
      <c r="L93" s="398">
        <v>3</v>
      </c>
      <c r="M93" s="404">
        <f t="shared" si="138"/>
        <v>74121000</v>
      </c>
      <c r="N93" s="398">
        <v>3</v>
      </c>
      <c r="O93" s="402">
        <f t="shared" si="139"/>
        <v>74121000</v>
      </c>
      <c r="P93" s="397">
        <f t="shared" si="140"/>
        <v>148242000</v>
      </c>
      <c r="Q93" s="397">
        <f t="shared" si="141"/>
        <v>66489000</v>
      </c>
      <c r="R93" s="397">
        <f t="shared" si="142"/>
        <v>73457047.200000003</v>
      </c>
      <c r="S93" s="397">
        <f t="shared" si="143"/>
        <v>663952.79999999702</v>
      </c>
      <c r="T93" s="397">
        <f t="shared" si="144"/>
        <v>66489000</v>
      </c>
      <c r="U93" s="402">
        <f t="shared" si="145"/>
        <v>73457047.200000003</v>
      </c>
      <c r="V93" s="397">
        <f t="shared" si="146"/>
        <v>663952.79999999702</v>
      </c>
      <c r="W93" s="407">
        <f t="shared" si="147"/>
        <v>1327905.599999994</v>
      </c>
      <c r="Y93" s="277"/>
      <c r="AA93" s="277"/>
      <c r="AB93" s="278"/>
      <c r="AC93" s="278"/>
      <c r="AD93" s="278"/>
      <c r="AE93" s="278"/>
      <c r="AF93" s="278"/>
      <c r="AG93" s="277"/>
    </row>
    <row r="94" spans="2:33" s="276" customFormat="1" ht="11.5" outlineLevel="1" x14ac:dyDescent="0.25">
      <c r="B94" s="128" t="s">
        <v>299</v>
      </c>
      <c r="C94" s="128">
        <v>110638</v>
      </c>
      <c r="D94" s="477">
        <v>260</v>
      </c>
      <c r="E94" s="305">
        <v>22163000</v>
      </c>
      <c r="F94" s="387">
        <f t="shared" ref="F94" si="158">(G94/E94)-1</f>
        <v>0.10476920994450212</v>
      </c>
      <c r="G94" s="305">
        <v>24485000</v>
      </c>
      <c r="H94" s="321">
        <v>0.04</v>
      </c>
      <c r="I94" s="335">
        <f t="shared" si="149"/>
        <v>25464400</v>
      </c>
      <c r="J94" s="321">
        <v>0.06</v>
      </c>
      <c r="K94" s="335">
        <f t="shared" si="150"/>
        <v>25954100</v>
      </c>
      <c r="L94" s="398">
        <v>6</v>
      </c>
      <c r="M94" s="404">
        <f t="shared" si="138"/>
        <v>146910000</v>
      </c>
      <c r="N94" s="398">
        <v>8</v>
      </c>
      <c r="O94" s="269">
        <f t="shared" si="139"/>
        <v>195880000</v>
      </c>
      <c r="P94" s="397">
        <f t="shared" si="140"/>
        <v>342790000</v>
      </c>
      <c r="Q94" s="397">
        <f t="shared" si="141"/>
        <v>132978000</v>
      </c>
      <c r="R94" s="397">
        <f t="shared" si="142"/>
        <v>146914094.40000001</v>
      </c>
      <c r="S94" s="397">
        <f t="shared" si="143"/>
        <v>-4094.4000000059605</v>
      </c>
      <c r="T94" s="397">
        <f t="shared" si="144"/>
        <v>177304000</v>
      </c>
      <c r="U94" s="269">
        <f t="shared" si="145"/>
        <v>195885459.19999999</v>
      </c>
      <c r="V94" s="407">
        <f t="shared" si="146"/>
        <v>-5459.1999999880791</v>
      </c>
      <c r="W94" s="407">
        <f t="shared" si="147"/>
        <v>-9553.5999999940395</v>
      </c>
      <c r="Y94" s="277"/>
      <c r="AA94" s="277"/>
      <c r="AB94" s="278"/>
      <c r="AC94" s="278"/>
      <c r="AD94" s="278"/>
      <c r="AE94" s="278"/>
      <c r="AF94" s="278"/>
      <c r="AG94" s="277"/>
    </row>
    <row r="95" spans="2:33" s="276" customFormat="1" ht="11.5" outlineLevel="1" x14ac:dyDescent="0.25">
      <c r="B95" s="128" t="s">
        <v>349</v>
      </c>
      <c r="C95" s="128">
        <v>110639</v>
      </c>
      <c r="D95" s="476">
        <v>178</v>
      </c>
      <c r="E95" s="305">
        <v>20511000</v>
      </c>
      <c r="F95" s="387">
        <f t="shared" si="135"/>
        <v>0.11476768563209983</v>
      </c>
      <c r="G95" s="305">
        <v>22865000</v>
      </c>
      <c r="H95" s="321">
        <v>0.04</v>
      </c>
      <c r="I95" s="335">
        <f t="shared" si="149"/>
        <v>23779600</v>
      </c>
      <c r="J95" s="321">
        <v>0.06</v>
      </c>
      <c r="K95" s="335">
        <f t="shared" si="150"/>
        <v>24236900</v>
      </c>
      <c r="L95" s="398">
        <v>4</v>
      </c>
      <c r="M95" s="404">
        <f t="shared" si="138"/>
        <v>91460000</v>
      </c>
      <c r="N95" s="398">
        <v>4</v>
      </c>
      <c r="O95" s="402">
        <f t="shared" si="139"/>
        <v>91460000</v>
      </c>
      <c r="P95" s="397">
        <f t="shared" si="140"/>
        <v>182920000</v>
      </c>
      <c r="Q95" s="397">
        <f t="shared" si="141"/>
        <v>82044000</v>
      </c>
      <c r="R95" s="397">
        <f t="shared" si="142"/>
        <v>90642211.200000003</v>
      </c>
      <c r="S95" s="397">
        <f t="shared" si="143"/>
        <v>817788.79999999702</v>
      </c>
      <c r="T95" s="397">
        <f t="shared" si="144"/>
        <v>82044000</v>
      </c>
      <c r="U95" s="402">
        <f t="shared" si="145"/>
        <v>90642211.200000003</v>
      </c>
      <c r="V95" s="397">
        <f t="shared" si="146"/>
        <v>817788.79999999702</v>
      </c>
      <c r="W95" s="407">
        <f t="shared" si="147"/>
        <v>1635577.599999994</v>
      </c>
      <c r="Y95" s="277"/>
      <c r="AA95" s="277"/>
      <c r="AB95" s="278"/>
      <c r="AC95" s="278"/>
      <c r="AD95" s="278"/>
      <c r="AE95" s="278"/>
      <c r="AF95" s="278"/>
      <c r="AG95" s="277"/>
    </row>
    <row r="96" spans="2:33" s="276" customFormat="1" ht="11.5" outlineLevel="1" x14ac:dyDescent="0.25">
      <c r="B96" s="128" t="s">
        <v>300</v>
      </c>
      <c r="C96" s="128">
        <v>110639</v>
      </c>
      <c r="D96" s="477">
        <v>178</v>
      </c>
      <c r="E96" s="305">
        <v>20511000</v>
      </c>
      <c r="F96" s="387">
        <f t="shared" ref="F96" si="159">(G96/E96)-1</f>
        <v>0.10477304860806402</v>
      </c>
      <c r="G96" s="305">
        <v>22660000</v>
      </c>
      <c r="H96" s="321">
        <v>0.04</v>
      </c>
      <c r="I96" s="335">
        <f t="shared" si="149"/>
        <v>23566400</v>
      </c>
      <c r="J96" s="321">
        <v>0.06</v>
      </c>
      <c r="K96" s="335">
        <f t="shared" si="150"/>
        <v>24019600</v>
      </c>
      <c r="L96" s="398">
        <v>10</v>
      </c>
      <c r="M96" s="404">
        <f t="shared" si="138"/>
        <v>226600000</v>
      </c>
      <c r="N96" s="398">
        <v>13</v>
      </c>
      <c r="O96" s="269">
        <f t="shared" si="139"/>
        <v>294580000</v>
      </c>
      <c r="P96" s="397">
        <f t="shared" si="140"/>
        <v>521180000</v>
      </c>
      <c r="Q96" s="397">
        <f t="shared" si="141"/>
        <v>205110000</v>
      </c>
      <c r="R96" s="397">
        <f t="shared" si="142"/>
        <v>226605528</v>
      </c>
      <c r="S96" s="397">
        <f t="shared" si="143"/>
        <v>-5528</v>
      </c>
      <c r="T96" s="397">
        <f t="shared" si="144"/>
        <v>266643000</v>
      </c>
      <c r="U96" s="269">
        <f t="shared" si="145"/>
        <v>294587186.39999998</v>
      </c>
      <c r="V96" s="407">
        <f t="shared" si="146"/>
        <v>-7186.3999999761581</v>
      </c>
      <c r="W96" s="407">
        <f t="shared" si="147"/>
        <v>-12714.399999976158</v>
      </c>
      <c r="Y96" s="277"/>
      <c r="AA96" s="277"/>
      <c r="AB96" s="278"/>
      <c r="AC96" s="278"/>
      <c r="AD96" s="278"/>
      <c r="AE96" s="278"/>
      <c r="AF96" s="278"/>
      <c r="AG96" s="277"/>
    </row>
    <row r="97" spans="2:33" s="141" customFormat="1" ht="11.5" outlineLevel="1" x14ac:dyDescent="0.25">
      <c r="B97" s="62" t="s">
        <v>92</v>
      </c>
      <c r="C97" s="294"/>
      <c r="D97" s="295"/>
      <c r="E97" s="310"/>
      <c r="F97" s="321"/>
      <c r="G97" s="310"/>
      <c r="H97" s="300"/>
      <c r="I97" s="300"/>
      <c r="J97" s="300"/>
      <c r="K97" s="300"/>
      <c r="L97" s="300"/>
      <c r="M97" s="300"/>
      <c r="N97" s="300"/>
      <c r="O97" s="300"/>
      <c r="P97" s="323"/>
      <c r="Q97" s="323"/>
      <c r="R97" s="323"/>
      <c r="S97" s="323"/>
      <c r="T97" s="323"/>
      <c r="U97" s="323"/>
      <c r="V97" s="323"/>
      <c r="W97" s="323"/>
      <c r="Y97" s="280"/>
      <c r="AA97" s="280"/>
      <c r="AB97" s="281"/>
      <c r="AC97" s="281"/>
      <c r="AD97" s="281"/>
      <c r="AE97" s="281"/>
      <c r="AF97" s="281"/>
      <c r="AG97" s="280"/>
    </row>
    <row r="98" spans="2:33" s="276" customFormat="1" ht="11.5" outlineLevel="1" x14ac:dyDescent="0.25">
      <c r="B98" s="128" t="s">
        <v>350</v>
      </c>
      <c r="C98" s="128">
        <v>1047</v>
      </c>
      <c r="D98" s="476">
        <v>26</v>
      </c>
      <c r="E98" s="305">
        <v>12064000</v>
      </c>
      <c r="F98" s="387">
        <f t="shared" ref="F98:F112" si="160">(G98/E98)-1</f>
        <v>0.11472148541114069</v>
      </c>
      <c r="G98" s="305">
        <v>13448000</v>
      </c>
      <c r="H98" s="321">
        <v>0.04</v>
      </c>
      <c r="I98" s="335">
        <f t="shared" ref="I98:I117" si="161">+(G98*H98)+G98</f>
        <v>13985920</v>
      </c>
      <c r="J98" s="321">
        <v>0.06</v>
      </c>
      <c r="K98" s="335">
        <f t="shared" ref="K98:K117" si="162">+(G98*J98)+G98</f>
        <v>14254880</v>
      </c>
      <c r="L98" s="398">
        <v>15</v>
      </c>
      <c r="M98" s="404">
        <f t="shared" ref="M98:M117" si="163">+L98*G98</f>
        <v>201720000</v>
      </c>
      <c r="N98" s="398">
        <v>15</v>
      </c>
      <c r="O98" s="402">
        <f t="shared" ref="O98:O117" si="164">+N98*G98</f>
        <v>201720000</v>
      </c>
      <c r="P98" s="397">
        <f t="shared" ref="P98:P117" si="165">+M98+O98</f>
        <v>403440000</v>
      </c>
      <c r="Q98" s="397">
        <f t="shared" ref="Q98:Q117" si="166">M98/(1+F98)</f>
        <v>180959999.99999997</v>
      </c>
      <c r="R98" s="397">
        <f t="shared" ref="R98:R117" si="167">($Q98*$R$10)+$Q98</f>
        <v>199924607.99999997</v>
      </c>
      <c r="S98" s="397">
        <f t="shared" ref="S98:S111" si="168">M98-R98</f>
        <v>1795392.0000000298</v>
      </c>
      <c r="T98" s="397">
        <f t="shared" ref="T98:T117" si="169">O98/(1+F98)</f>
        <v>180959999.99999997</v>
      </c>
      <c r="U98" s="402">
        <f t="shared" si="145"/>
        <v>199924607.99999997</v>
      </c>
      <c r="V98" s="397">
        <f t="shared" ref="V98:V111" si="170">O98-U98</f>
        <v>1795392.0000000298</v>
      </c>
      <c r="W98" s="407">
        <f t="shared" ref="W98:W117" si="171">S98+V98</f>
        <v>3590784.0000000596</v>
      </c>
      <c r="Y98" s="277"/>
      <c r="AA98" s="277"/>
      <c r="AB98" s="278"/>
      <c r="AC98" s="278"/>
      <c r="AD98" s="278"/>
      <c r="AE98" s="278"/>
      <c r="AF98" s="278"/>
      <c r="AG98" s="277"/>
    </row>
    <row r="99" spans="2:33" s="276" customFormat="1" ht="11.5" outlineLevel="1" x14ac:dyDescent="0.25">
      <c r="B99" s="128" t="s">
        <v>267</v>
      </c>
      <c r="C99" s="128">
        <v>1047</v>
      </c>
      <c r="D99" s="477">
        <v>26</v>
      </c>
      <c r="E99" s="305">
        <v>12064000</v>
      </c>
      <c r="F99" s="387">
        <f t="shared" ref="F99" si="172">(G99/E99)-1</f>
        <v>0.10477453580901863</v>
      </c>
      <c r="G99" s="305">
        <v>13328000</v>
      </c>
      <c r="H99" s="321">
        <v>0.04</v>
      </c>
      <c r="I99" s="335">
        <f t="shared" si="161"/>
        <v>13861120</v>
      </c>
      <c r="J99" s="321">
        <v>0.06</v>
      </c>
      <c r="K99" s="335">
        <f t="shared" si="162"/>
        <v>14127680</v>
      </c>
      <c r="L99" s="398">
        <v>14</v>
      </c>
      <c r="M99" s="404">
        <f t="shared" si="163"/>
        <v>186592000</v>
      </c>
      <c r="N99" s="398">
        <v>13</v>
      </c>
      <c r="O99" s="269">
        <f t="shared" si="164"/>
        <v>173264000</v>
      </c>
      <c r="P99" s="397">
        <f t="shared" si="165"/>
        <v>359856000</v>
      </c>
      <c r="Q99" s="397">
        <f t="shared" si="166"/>
        <v>168896000</v>
      </c>
      <c r="R99" s="397">
        <f t="shared" si="167"/>
        <v>186596300.80000001</v>
      </c>
      <c r="S99" s="397">
        <f t="shared" si="168"/>
        <v>-4300.8000000119209</v>
      </c>
      <c r="T99" s="397">
        <f t="shared" si="169"/>
        <v>156832000</v>
      </c>
      <c r="U99" s="269">
        <f t="shared" si="145"/>
        <v>173267993.59999999</v>
      </c>
      <c r="V99" s="407">
        <f t="shared" si="170"/>
        <v>-3993.5999999940395</v>
      </c>
      <c r="W99" s="407">
        <f t="shared" si="171"/>
        <v>-8294.4000000059605</v>
      </c>
      <c r="Y99" s="277"/>
      <c r="AA99" s="277"/>
      <c r="AB99" s="278"/>
      <c r="AC99" s="278"/>
      <c r="AD99" s="278"/>
      <c r="AE99" s="278"/>
      <c r="AF99" s="278"/>
      <c r="AG99" s="277"/>
    </row>
    <row r="100" spans="2:33" s="276" customFormat="1" ht="11.5" outlineLevel="1" x14ac:dyDescent="0.25">
      <c r="B100" s="128" t="s">
        <v>351</v>
      </c>
      <c r="C100" s="128">
        <v>16878</v>
      </c>
      <c r="D100" s="476">
        <v>26</v>
      </c>
      <c r="E100" s="305">
        <v>12064000</v>
      </c>
      <c r="F100" s="387">
        <f t="shared" si="160"/>
        <v>0.11472148541114069</v>
      </c>
      <c r="G100" s="305">
        <v>13448000</v>
      </c>
      <c r="H100" s="321">
        <v>0.04</v>
      </c>
      <c r="I100" s="335">
        <f t="shared" si="161"/>
        <v>13985920</v>
      </c>
      <c r="J100" s="321">
        <v>0.06</v>
      </c>
      <c r="K100" s="335">
        <f t="shared" si="162"/>
        <v>14254880</v>
      </c>
      <c r="L100" s="398">
        <v>22</v>
      </c>
      <c r="M100" s="404">
        <f t="shared" si="163"/>
        <v>295856000</v>
      </c>
      <c r="N100" s="398">
        <v>22</v>
      </c>
      <c r="O100" s="402">
        <f t="shared" si="164"/>
        <v>295856000</v>
      </c>
      <c r="P100" s="397">
        <f t="shared" si="165"/>
        <v>591712000</v>
      </c>
      <c r="Q100" s="397">
        <f t="shared" si="166"/>
        <v>265407999.99999997</v>
      </c>
      <c r="R100" s="397">
        <f t="shared" si="167"/>
        <v>293222758.39999998</v>
      </c>
      <c r="S100" s="397">
        <f t="shared" si="168"/>
        <v>2633241.6000000238</v>
      </c>
      <c r="T100" s="397">
        <f t="shared" si="169"/>
        <v>265407999.99999997</v>
      </c>
      <c r="U100" s="402">
        <f t="shared" si="145"/>
        <v>293222758.39999998</v>
      </c>
      <c r="V100" s="397">
        <f t="shared" si="170"/>
        <v>2633241.6000000238</v>
      </c>
      <c r="W100" s="407">
        <f t="shared" si="171"/>
        <v>5266483.2000000477</v>
      </c>
      <c r="Y100" s="277"/>
      <c r="AA100" s="277"/>
      <c r="AB100" s="278"/>
      <c r="AC100" s="278"/>
      <c r="AD100" s="278"/>
      <c r="AE100" s="278"/>
      <c r="AF100" s="278"/>
      <c r="AG100" s="277"/>
    </row>
    <row r="101" spans="2:33" s="276" customFormat="1" ht="11.5" outlineLevel="1" x14ac:dyDescent="0.25">
      <c r="B101" s="128" t="s">
        <v>269</v>
      </c>
      <c r="C101" s="128">
        <v>16878</v>
      </c>
      <c r="D101" s="477">
        <v>26</v>
      </c>
      <c r="E101" s="305">
        <v>12064000</v>
      </c>
      <c r="F101" s="387">
        <f t="shared" ref="F101" si="173">(G101/E101)-1</f>
        <v>0.10477453580901863</v>
      </c>
      <c r="G101" s="305">
        <v>13328000</v>
      </c>
      <c r="H101" s="321">
        <v>0.04</v>
      </c>
      <c r="I101" s="335">
        <f t="shared" si="161"/>
        <v>13861120</v>
      </c>
      <c r="J101" s="321">
        <v>0.06</v>
      </c>
      <c r="K101" s="335">
        <f t="shared" si="162"/>
        <v>14127680</v>
      </c>
      <c r="L101" s="398">
        <v>30</v>
      </c>
      <c r="M101" s="404">
        <f t="shared" si="163"/>
        <v>399840000</v>
      </c>
      <c r="N101" s="398">
        <v>30</v>
      </c>
      <c r="O101" s="269">
        <f t="shared" si="164"/>
        <v>399840000</v>
      </c>
      <c r="P101" s="397">
        <f t="shared" si="165"/>
        <v>799680000</v>
      </c>
      <c r="Q101" s="397">
        <f t="shared" si="166"/>
        <v>361920000</v>
      </c>
      <c r="R101" s="397">
        <f t="shared" si="167"/>
        <v>399849216</v>
      </c>
      <c r="S101" s="397">
        <f t="shared" si="168"/>
        <v>-9216</v>
      </c>
      <c r="T101" s="397">
        <f t="shared" si="169"/>
        <v>361920000</v>
      </c>
      <c r="U101" s="269">
        <f t="shared" si="145"/>
        <v>399849216</v>
      </c>
      <c r="V101" s="407">
        <f t="shared" si="170"/>
        <v>-9216</v>
      </c>
      <c r="W101" s="407">
        <f t="shared" si="171"/>
        <v>-18432</v>
      </c>
      <c r="Y101" s="277"/>
      <c r="AA101" s="277"/>
      <c r="AB101" s="278"/>
      <c r="AC101" s="278"/>
      <c r="AD101" s="278"/>
      <c r="AE101" s="278"/>
      <c r="AF101" s="278"/>
      <c r="AG101" s="277"/>
    </row>
    <row r="102" spans="2:33" s="276" customFormat="1" ht="11.5" outlineLevel="1" x14ac:dyDescent="0.25">
      <c r="B102" s="128" t="s">
        <v>352</v>
      </c>
      <c r="C102" s="128">
        <v>107496</v>
      </c>
      <c r="D102" s="476">
        <v>26</v>
      </c>
      <c r="E102" s="305">
        <v>12064000</v>
      </c>
      <c r="F102" s="387">
        <f t="shared" si="160"/>
        <v>0.11472148541114069</v>
      </c>
      <c r="G102" s="305">
        <v>13448000</v>
      </c>
      <c r="H102" s="321">
        <v>0.04</v>
      </c>
      <c r="I102" s="335">
        <f t="shared" si="161"/>
        <v>13985920</v>
      </c>
      <c r="J102" s="321">
        <v>0.06</v>
      </c>
      <c r="K102" s="335">
        <f t="shared" si="162"/>
        <v>14254880</v>
      </c>
      <c r="L102" s="398">
        <v>11</v>
      </c>
      <c r="M102" s="404">
        <f t="shared" si="163"/>
        <v>147928000</v>
      </c>
      <c r="N102" s="398">
        <v>11</v>
      </c>
      <c r="O102" s="402">
        <f t="shared" si="164"/>
        <v>147928000</v>
      </c>
      <c r="P102" s="397">
        <f t="shared" si="165"/>
        <v>295856000</v>
      </c>
      <c r="Q102" s="397">
        <f t="shared" si="166"/>
        <v>132703999.99999999</v>
      </c>
      <c r="R102" s="397">
        <f t="shared" si="167"/>
        <v>146611379.19999999</v>
      </c>
      <c r="S102" s="397">
        <f t="shared" si="168"/>
        <v>1316620.8000000119</v>
      </c>
      <c r="T102" s="397">
        <f t="shared" si="169"/>
        <v>132703999.99999999</v>
      </c>
      <c r="U102" s="402">
        <f t="shared" si="145"/>
        <v>146611379.19999999</v>
      </c>
      <c r="V102" s="397">
        <f t="shared" si="170"/>
        <v>1316620.8000000119</v>
      </c>
      <c r="W102" s="407">
        <f t="shared" si="171"/>
        <v>2633241.6000000238</v>
      </c>
      <c r="Y102" s="277"/>
      <c r="AA102" s="277"/>
      <c r="AB102" s="278"/>
      <c r="AC102" s="278"/>
      <c r="AD102" s="278"/>
      <c r="AE102" s="278"/>
      <c r="AF102" s="278"/>
      <c r="AG102" s="277"/>
    </row>
    <row r="103" spans="2:33" s="276" customFormat="1" ht="11.5" outlineLevel="1" x14ac:dyDescent="0.25">
      <c r="B103" s="128" t="s">
        <v>268</v>
      </c>
      <c r="C103" s="128">
        <v>107496</v>
      </c>
      <c r="D103" s="477">
        <v>26</v>
      </c>
      <c r="E103" s="305">
        <v>12064000</v>
      </c>
      <c r="F103" s="387">
        <f t="shared" ref="F103" si="174">(G103/E103)-1</f>
        <v>0.10477453580901863</v>
      </c>
      <c r="G103" s="305">
        <v>13328000</v>
      </c>
      <c r="H103" s="321">
        <v>0.04</v>
      </c>
      <c r="I103" s="335">
        <f t="shared" si="161"/>
        <v>13861120</v>
      </c>
      <c r="J103" s="321">
        <v>0.06</v>
      </c>
      <c r="K103" s="335">
        <f t="shared" si="162"/>
        <v>14127680</v>
      </c>
      <c r="L103" s="398">
        <v>9</v>
      </c>
      <c r="M103" s="404">
        <f t="shared" si="163"/>
        <v>119952000</v>
      </c>
      <c r="N103" s="398">
        <v>10</v>
      </c>
      <c r="O103" s="269">
        <f t="shared" si="164"/>
        <v>133280000</v>
      </c>
      <c r="P103" s="397">
        <f t="shared" si="165"/>
        <v>253232000</v>
      </c>
      <c r="Q103" s="397">
        <f t="shared" si="166"/>
        <v>108576000</v>
      </c>
      <c r="R103" s="397">
        <f t="shared" si="167"/>
        <v>119954764.8</v>
      </c>
      <c r="S103" s="397">
        <f t="shared" si="168"/>
        <v>-2764.7999999970198</v>
      </c>
      <c r="T103" s="397">
        <f t="shared" si="169"/>
        <v>120640000</v>
      </c>
      <c r="U103" s="269">
        <f t="shared" si="145"/>
        <v>133283072</v>
      </c>
      <c r="V103" s="407">
        <f t="shared" si="170"/>
        <v>-3072</v>
      </c>
      <c r="W103" s="407">
        <f t="shared" si="171"/>
        <v>-5836.7999999970198</v>
      </c>
      <c r="Y103" s="277"/>
      <c r="AA103" s="277"/>
      <c r="AB103" s="278"/>
      <c r="AC103" s="278"/>
      <c r="AD103" s="278"/>
      <c r="AE103" s="278"/>
      <c r="AF103" s="278"/>
      <c r="AG103" s="277"/>
    </row>
    <row r="104" spans="2:33" s="276" customFormat="1" ht="11.5" outlineLevel="1" x14ac:dyDescent="0.25">
      <c r="B104" s="128" t="s">
        <v>353</v>
      </c>
      <c r="C104" s="128">
        <v>105459</v>
      </c>
      <c r="D104" s="476">
        <v>22</v>
      </c>
      <c r="E104" s="305">
        <v>12064000</v>
      </c>
      <c r="F104" s="387">
        <f t="shared" si="160"/>
        <v>0.11472148541114069</v>
      </c>
      <c r="G104" s="305">
        <v>13448000</v>
      </c>
      <c r="H104" s="321">
        <v>0.04</v>
      </c>
      <c r="I104" s="335">
        <f t="shared" si="161"/>
        <v>13985920</v>
      </c>
      <c r="J104" s="321">
        <v>0.06</v>
      </c>
      <c r="K104" s="335">
        <f t="shared" si="162"/>
        <v>14254880</v>
      </c>
      <c r="L104" s="398">
        <v>5</v>
      </c>
      <c r="M104" s="404">
        <f t="shared" si="163"/>
        <v>67240000</v>
      </c>
      <c r="N104" s="398">
        <v>5</v>
      </c>
      <c r="O104" s="402">
        <f t="shared" si="164"/>
        <v>67240000</v>
      </c>
      <c r="P104" s="397">
        <f t="shared" si="165"/>
        <v>134480000</v>
      </c>
      <c r="Q104" s="397">
        <f t="shared" si="166"/>
        <v>60319999.999999993</v>
      </c>
      <c r="R104" s="397">
        <f t="shared" si="167"/>
        <v>66641535.999999993</v>
      </c>
      <c r="S104" s="397">
        <f t="shared" si="168"/>
        <v>598464.00000000745</v>
      </c>
      <c r="T104" s="397">
        <f t="shared" si="169"/>
        <v>60319999.999999993</v>
      </c>
      <c r="U104" s="402">
        <f t="shared" si="145"/>
        <v>66641535.999999993</v>
      </c>
      <c r="V104" s="397">
        <f t="shared" si="170"/>
        <v>598464.00000000745</v>
      </c>
      <c r="W104" s="407">
        <f t="shared" si="171"/>
        <v>1196928.0000000149</v>
      </c>
      <c r="Y104" s="277"/>
      <c r="AA104" s="277"/>
      <c r="AB104" s="278"/>
      <c r="AC104" s="278"/>
      <c r="AD104" s="278"/>
      <c r="AE104" s="278"/>
      <c r="AF104" s="278"/>
      <c r="AG104" s="277"/>
    </row>
    <row r="105" spans="2:33" s="276" customFormat="1" ht="11.5" outlineLevel="1" x14ac:dyDescent="0.25">
      <c r="B105" s="128" t="s">
        <v>95</v>
      </c>
      <c r="C105" s="128">
        <v>105459</v>
      </c>
      <c r="D105" s="477">
        <v>22</v>
      </c>
      <c r="E105" s="305">
        <v>12064000</v>
      </c>
      <c r="F105" s="387">
        <f t="shared" ref="F105" si="175">(G105/E105)-1</f>
        <v>0.10477453580901863</v>
      </c>
      <c r="G105" s="305">
        <v>13328000</v>
      </c>
      <c r="H105" s="321">
        <v>0.04</v>
      </c>
      <c r="I105" s="335">
        <f t="shared" si="161"/>
        <v>13861120</v>
      </c>
      <c r="J105" s="321">
        <v>0.06</v>
      </c>
      <c r="K105" s="335">
        <f t="shared" si="162"/>
        <v>14127680</v>
      </c>
      <c r="L105" s="398">
        <v>2</v>
      </c>
      <c r="M105" s="404">
        <f t="shared" si="163"/>
        <v>26656000</v>
      </c>
      <c r="N105" s="398">
        <v>4</v>
      </c>
      <c r="O105" s="269">
        <f t="shared" si="164"/>
        <v>53312000</v>
      </c>
      <c r="P105" s="397">
        <f t="shared" si="165"/>
        <v>79968000</v>
      </c>
      <c r="Q105" s="397">
        <f t="shared" si="166"/>
        <v>24128000</v>
      </c>
      <c r="R105" s="397">
        <f t="shared" si="167"/>
        <v>26656614.399999999</v>
      </c>
      <c r="S105" s="397">
        <f t="shared" si="168"/>
        <v>-614.39999999850988</v>
      </c>
      <c r="T105" s="397">
        <f t="shared" si="169"/>
        <v>48256000</v>
      </c>
      <c r="U105" s="269">
        <f t="shared" si="145"/>
        <v>53313228.799999997</v>
      </c>
      <c r="V105" s="407">
        <f t="shared" si="170"/>
        <v>-1228.7999999970198</v>
      </c>
      <c r="W105" s="407">
        <f t="shared" si="171"/>
        <v>-1843.1999999955297</v>
      </c>
      <c r="Y105" s="277"/>
      <c r="AA105" s="277"/>
      <c r="AB105" s="278"/>
      <c r="AC105" s="278"/>
      <c r="AD105" s="278"/>
      <c r="AE105" s="278"/>
      <c r="AF105" s="278"/>
      <c r="AG105" s="277"/>
    </row>
    <row r="106" spans="2:33" s="276" customFormat="1" ht="11.5" outlineLevel="1" x14ac:dyDescent="0.25">
      <c r="B106" s="128" t="s">
        <v>354</v>
      </c>
      <c r="C106" s="128">
        <v>52282</v>
      </c>
      <c r="D106" s="476">
        <v>44</v>
      </c>
      <c r="E106" s="305">
        <v>12497000</v>
      </c>
      <c r="F106" s="387">
        <f t="shared" si="160"/>
        <v>0.11474753940945837</v>
      </c>
      <c r="G106" s="305">
        <v>13931000</v>
      </c>
      <c r="H106" s="321">
        <v>0.04</v>
      </c>
      <c r="I106" s="335">
        <f t="shared" si="161"/>
        <v>14488240</v>
      </c>
      <c r="J106" s="321">
        <v>0.06</v>
      </c>
      <c r="K106" s="335">
        <f t="shared" si="162"/>
        <v>14766860</v>
      </c>
      <c r="L106" s="398">
        <v>6</v>
      </c>
      <c r="M106" s="404">
        <f t="shared" si="163"/>
        <v>83586000</v>
      </c>
      <c r="N106" s="398">
        <v>6</v>
      </c>
      <c r="O106" s="402">
        <f t="shared" si="164"/>
        <v>83586000</v>
      </c>
      <c r="P106" s="397">
        <f t="shared" si="165"/>
        <v>167172000</v>
      </c>
      <c r="Q106" s="397">
        <f t="shared" si="166"/>
        <v>74982000</v>
      </c>
      <c r="R106" s="397">
        <f t="shared" si="167"/>
        <v>82840113.599999994</v>
      </c>
      <c r="S106" s="397">
        <f t="shared" si="168"/>
        <v>745886.40000000596</v>
      </c>
      <c r="T106" s="397">
        <f t="shared" si="169"/>
        <v>74982000</v>
      </c>
      <c r="U106" s="402">
        <f t="shared" si="145"/>
        <v>82840113.599999994</v>
      </c>
      <c r="V106" s="397">
        <f t="shared" si="170"/>
        <v>745886.40000000596</v>
      </c>
      <c r="W106" s="407">
        <f t="shared" si="171"/>
        <v>1491772.8000000119</v>
      </c>
      <c r="Y106" s="277"/>
      <c r="AA106" s="277"/>
      <c r="AB106" s="278"/>
      <c r="AC106" s="278"/>
      <c r="AD106" s="278"/>
      <c r="AE106" s="278"/>
      <c r="AF106" s="278"/>
      <c r="AG106" s="277"/>
    </row>
    <row r="107" spans="2:33" s="276" customFormat="1" ht="11.5" outlineLevel="1" x14ac:dyDescent="0.25">
      <c r="B107" s="128" t="s">
        <v>52</v>
      </c>
      <c r="C107" s="128">
        <v>52282</v>
      </c>
      <c r="D107" s="477">
        <v>44</v>
      </c>
      <c r="E107" s="305">
        <v>12497000</v>
      </c>
      <c r="F107" s="387">
        <f t="shared" ref="F107" si="176">(G107/E107)-1</f>
        <v>0.10474513883332004</v>
      </c>
      <c r="G107" s="305">
        <v>13806000</v>
      </c>
      <c r="H107" s="321">
        <v>0.04</v>
      </c>
      <c r="I107" s="335">
        <f t="shared" si="161"/>
        <v>14358240</v>
      </c>
      <c r="J107" s="321">
        <v>0.06</v>
      </c>
      <c r="K107" s="335">
        <f t="shared" si="162"/>
        <v>14634360</v>
      </c>
      <c r="L107" s="398">
        <v>13</v>
      </c>
      <c r="M107" s="404">
        <f t="shared" si="163"/>
        <v>179478000</v>
      </c>
      <c r="N107" s="398">
        <v>11</v>
      </c>
      <c r="O107" s="269">
        <f t="shared" si="164"/>
        <v>151866000</v>
      </c>
      <c r="P107" s="397">
        <f t="shared" si="165"/>
        <v>331344000</v>
      </c>
      <c r="Q107" s="397">
        <f t="shared" si="166"/>
        <v>162461000</v>
      </c>
      <c r="R107" s="397">
        <f t="shared" si="167"/>
        <v>179486912.80000001</v>
      </c>
      <c r="S107" s="397">
        <f t="shared" si="168"/>
        <v>-8912.8000000119209</v>
      </c>
      <c r="T107" s="397">
        <f t="shared" si="169"/>
        <v>137467000</v>
      </c>
      <c r="U107" s="269">
        <f t="shared" si="145"/>
        <v>151873541.59999999</v>
      </c>
      <c r="V107" s="407">
        <f t="shared" si="170"/>
        <v>-7541.5999999940395</v>
      </c>
      <c r="W107" s="407">
        <f t="shared" si="171"/>
        <v>-16454.40000000596</v>
      </c>
      <c r="Y107" s="277"/>
      <c r="AA107" s="277"/>
      <c r="AB107" s="278"/>
      <c r="AC107" s="278"/>
      <c r="AD107" s="278"/>
      <c r="AE107" s="278"/>
      <c r="AF107" s="278"/>
      <c r="AG107" s="277"/>
    </row>
    <row r="108" spans="2:33" s="276" customFormat="1" ht="11.5" outlineLevel="1" x14ac:dyDescent="0.25">
      <c r="B108" s="128" t="s">
        <v>355</v>
      </c>
      <c r="C108" s="128">
        <v>103306</v>
      </c>
      <c r="D108" s="476">
        <v>44</v>
      </c>
      <c r="E108" s="305">
        <v>12497000</v>
      </c>
      <c r="F108" s="387">
        <f t="shared" si="160"/>
        <v>0.11474753940945837</v>
      </c>
      <c r="G108" s="305">
        <v>13931000</v>
      </c>
      <c r="H108" s="321">
        <v>0.04</v>
      </c>
      <c r="I108" s="335">
        <f t="shared" si="161"/>
        <v>14488240</v>
      </c>
      <c r="J108" s="321">
        <v>0.06</v>
      </c>
      <c r="K108" s="335">
        <f t="shared" si="162"/>
        <v>14766860</v>
      </c>
      <c r="L108" s="398">
        <v>16</v>
      </c>
      <c r="M108" s="404">
        <f t="shared" si="163"/>
        <v>222896000</v>
      </c>
      <c r="N108" s="398">
        <v>16</v>
      </c>
      <c r="O108" s="402">
        <f t="shared" si="164"/>
        <v>222896000</v>
      </c>
      <c r="P108" s="397">
        <f t="shared" si="165"/>
        <v>445792000</v>
      </c>
      <c r="Q108" s="397">
        <f t="shared" si="166"/>
        <v>199951999.99999997</v>
      </c>
      <c r="R108" s="397">
        <f t="shared" si="167"/>
        <v>220906969.59999996</v>
      </c>
      <c r="S108" s="397">
        <f t="shared" si="168"/>
        <v>1989030.4000000358</v>
      </c>
      <c r="T108" s="397">
        <f t="shared" si="169"/>
        <v>199951999.99999997</v>
      </c>
      <c r="U108" s="402">
        <f t="shared" si="145"/>
        <v>220906969.59999996</v>
      </c>
      <c r="V108" s="397">
        <f t="shared" si="170"/>
        <v>1989030.4000000358</v>
      </c>
      <c r="W108" s="407">
        <f t="shared" si="171"/>
        <v>3978060.8000000715</v>
      </c>
      <c r="Y108" s="277"/>
      <c r="AA108" s="277"/>
      <c r="AB108" s="278"/>
      <c r="AC108" s="278"/>
      <c r="AD108" s="278"/>
      <c r="AE108" s="278"/>
      <c r="AF108" s="278"/>
      <c r="AG108" s="277"/>
    </row>
    <row r="109" spans="2:33" s="276" customFormat="1" ht="11.5" outlineLevel="1" x14ac:dyDescent="0.25">
      <c r="B109" s="128" t="s">
        <v>53</v>
      </c>
      <c r="C109" s="128">
        <v>103306</v>
      </c>
      <c r="D109" s="477">
        <v>44</v>
      </c>
      <c r="E109" s="305">
        <v>12497000</v>
      </c>
      <c r="F109" s="387">
        <f t="shared" ref="F109" si="177">(G109/E109)-1</f>
        <v>0.10474513883332004</v>
      </c>
      <c r="G109" s="305">
        <v>13806000</v>
      </c>
      <c r="H109" s="321">
        <v>0.04</v>
      </c>
      <c r="I109" s="335">
        <f t="shared" si="161"/>
        <v>14358240</v>
      </c>
      <c r="J109" s="321">
        <v>0.06</v>
      </c>
      <c r="K109" s="335">
        <f t="shared" si="162"/>
        <v>14634360</v>
      </c>
      <c r="L109" s="398">
        <v>39</v>
      </c>
      <c r="M109" s="404">
        <f t="shared" si="163"/>
        <v>538434000</v>
      </c>
      <c r="N109" s="398">
        <v>31</v>
      </c>
      <c r="O109" s="269">
        <f t="shared" si="164"/>
        <v>427986000</v>
      </c>
      <c r="P109" s="397">
        <f t="shared" si="165"/>
        <v>966420000</v>
      </c>
      <c r="Q109" s="397">
        <f t="shared" si="166"/>
        <v>487383000</v>
      </c>
      <c r="R109" s="397">
        <f t="shared" si="167"/>
        <v>538460738.39999998</v>
      </c>
      <c r="S109" s="397">
        <f t="shared" si="168"/>
        <v>-26738.399999976158</v>
      </c>
      <c r="T109" s="397">
        <f t="shared" si="169"/>
        <v>387407000</v>
      </c>
      <c r="U109" s="269">
        <f t="shared" si="145"/>
        <v>428007253.60000002</v>
      </c>
      <c r="V109" s="407">
        <f t="shared" si="170"/>
        <v>-21253.600000023842</v>
      </c>
      <c r="W109" s="407">
        <f t="shared" si="171"/>
        <v>-47992</v>
      </c>
      <c r="Y109" s="277"/>
      <c r="AA109" s="277"/>
      <c r="AB109" s="278"/>
      <c r="AC109" s="278"/>
      <c r="AD109" s="278"/>
      <c r="AE109" s="278"/>
      <c r="AF109" s="278"/>
      <c r="AG109" s="277"/>
    </row>
    <row r="110" spans="2:33" s="276" customFormat="1" ht="11.5" outlineLevel="1" x14ac:dyDescent="0.25">
      <c r="B110" s="128" t="s">
        <v>356</v>
      </c>
      <c r="C110" s="489">
        <v>105373</v>
      </c>
      <c r="D110" s="480">
        <v>42</v>
      </c>
      <c r="E110" s="305">
        <v>12497000</v>
      </c>
      <c r="F110" s="387">
        <f t="shared" si="160"/>
        <v>0.11474753940945837</v>
      </c>
      <c r="G110" s="305">
        <v>13931000</v>
      </c>
      <c r="H110" s="321">
        <v>0.04</v>
      </c>
      <c r="I110" s="335">
        <f t="shared" si="161"/>
        <v>14488240</v>
      </c>
      <c r="J110" s="321">
        <v>0.06</v>
      </c>
      <c r="K110" s="335">
        <f t="shared" si="162"/>
        <v>14766860</v>
      </c>
      <c r="L110" s="398">
        <v>10</v>
      </c>
      <c r="M110" s="404">
        <f t="shared" si="163"/>
        <v>139310000</v>
      </c>
      <c r="N110" s="398">
        <v>10</v>
      </c>
      <c r="O110" s="402">
        <f t="shared" si="164"/>
        <v>139310000</v>
      </c>
      <c r="P110" s="397">
        <f t="shared" si="165"/>
        <v>278620000</v>
      </c>
      <c r="Q110" s="397">
        <f t="shared" si="166"/>
        <v>124969999.99999999</v>
      </c>
      <c r="R110" s="397">
        <f t="shared" si="167"/>
        <v>138066855.99999997</v>
      </c>
      <c r="S110" s="397">
        <f t="shared" si="168"/>
        <v>1243144.0000000298</v>
      </c>
      <c r="T110" s="397">
        <f t="shared" si="169"/>
        <v>124969999.99999999</v>
      </c>
      <c r="U110" s="402">
        <f t="shared" si="145"/>
        <v>138066855.99999997</v>
      </c>
      <c r="V110" s="397">
        <f t="shared" si="170"/>
        <v>1243144.0000000298</v>
      </c>
      <c r="W110" s="407">
        <f t="shared" si="171"/>
        <v>2486288.0000000596</v>
      </c>
      <c r="Y110" s="277"/>
      <c r="AA110" s="277"/>
      <c r="AB110" s="278"/>
      <c r="AC110" s="278"/>
      <c r="AD110" s="278"/>
      <c r="AE110" s="278"/>
      <c r="AF110" s="278"/>
      <c r="AG110" s="277"/>
    </row>
    <row r="111" spans="2:33" s="276" customFormat="1" ht="11.5" outlineLevel="1" x14ac:dyDescent="0.25">
      <c r="B111" s="128" t="s">
        <v>270</v>
      </c>
      <c r="C111" s="490"/>
      <c r="D111" s="481"/>
      <c r="E111" s="305">
        <v>12497000</v>
      </c>
      <c r="F111" s="387">
        <f t="shared" ref="F111" si="178">(G111/E111)-1</f>
        <v>0.10474513883332004</v>
      </c>
      <c r="G111" s="305">
        <v>13806000</v>
      </c>
      <c r="H111" s="321">
        <v>0.04</v>
      </c>
      <c r="I111" s="335">
        <f t="shared" si="161"/>
        <v>14358240</v>
      </c>
      <c r="J111" s="321">
        <v>0.06</v>
      </c>
      <c r="K111" s="335">
        <f t="shared" si="162"/>
        <v>14634360</v>
      </c>
      <c r="L111" s="398">
        <v>20</v>
      </c>
      <c r="M111" s="404">
        <f t="shared" si="163"/>
        <v>276120000</v>
      </c>
      <c r="N111" s="398">
        <v>24</v>
      </c>
      <c r="O111" s="269">
        <f t="shared" si="164"/>
        <v>331344000</v>
      </c>
      <c r="P111" s="397">
        <f t="shared" si="165"/>
        <v>607464000</v>
      </c>
      <c r="Q111" s="397">
        <f t="shared" si="166"/>
        <v>249940000</v>
      </c>
      <c r="R111" s="397">
        <f t="shared" si="167"/>
        <v>276133712</v>
      </c>
      <c r="S111" s="397">
        <f t="shared" si="168"/>
        <v>-13712</v>
      </c>
      <c r="T111" s="397">
        <f t="shared" si="169"/>
        <v>299928000</v>
      </c>
      <c r="U111" s="269">
        <f t="shared" si="145"/>
        <v>331360454.39999998</v>
      </c>
      <c r="V111" s="407">
        <f t="shared" si="170"/>
        <v>-16454.399999976158</v>
      </c>
      <c r="W111" s="407">
        <f t="shared" si="171"/>
        <v>-30166.399999976158</v>
      </c>
      <c r="Y111" s="277"/>
      <c r="AA111" s="277"/>
      <c r="AB111" s="278"/>
      <c r="AC111" s="278"/>
      <c r="AD111" s="278"/>
      <c r="AE111" s="278"/>
      <c r="AF111" s="278"/>
      <c r="AG111" s="277"/>
    </row>
    <row r="112" spans="2:33" s="276" customFormat="1" ht="11.5" outlineLevel="1" x14ac:dyDescent="0.25">
      <c r="B112" s="325" t="s">
        <v>357</v>
      </c>
      <c r="C112" s="128">
        <v>110671</v>
      </c>
      <c r="D112" s="476">
        <v>40</v>
      </c>
      <c r="E112" s="305">
        <v>8528000</v>
      </c>
      <c r="F112" s="387">
        <f t="shared" si="160"/>
        <v>0.11479831144465291</v>
      </c>
      <c r="G112" s="305">
        <v>9507000</v>
      </c>
      <c r="H112" s="321">
        <v>0.04</v>
      </c>
      <c r="I112" s="335">
        <f t="shared" si="161"/>
        <v>9887280</v>
      </c>
      <c r="J112" s="321">
        <v>0.06</v>
      </c>
      <c r="K112" s="335">
        <f t="shared" si="162"/>
        <v>10077420</v>
      </c>
      <c r="L112" s="398">
        <v>85</v>
      </c>
      <c r="M112" s="404">
        <f t="shared" si="163"/>
        <v>808095000</v>
      </c>
      <c r="N112" s="398">
        <v>75</v>
      </c>
      <c r="O112" s="402">
        <f t="shared" si="164"/>
        <v>713025000</v>
      </c>
      <c r="P112" s="397">
        <f t="shared" si="165"/>
        <v>1521120000</v>
      </c>
      <c r="Q112" s="397">
        <f t="shared" si="166"/>
        <v>724880000</v>
      </c>
      <c r="R112" s="397">
        <f t="shared" si="167"/>
        <v>800847424</v>
      </c>
      <c r="S112" s="397">
        <f t="shared" ref="S112:S113" si="179">M112-R112</f>
        <v>7247576</v>
      </c>
      <c r="T112" s="397">
        <f t="shared" si="169"/>
        <v>639600000</v>
      </c>
      <c r="U112" s="402">
        <f t="shared" si="145"/>
        <v>706630080</v>
      </c>
      <c r="V112" s="397">
        <f t="shared" ref="V112:V113" si="180">O112-U112</f>
        <v>6394920</v>
      </c>
      <c r="W112" s="407">
        <f t="shared" si="171"/>
        <v>13642496</v>
      </c>
      <c r="Y112" s="277"/>
      <c r="AA112" s="277"/>
      <c r="AB112" s="278"/>
      <c r="AC112" s="278"/>
      <c r="AD112" s="278"/>
      <c r="AE112" s="278"/>
      <c r="AF112" s="278"/>
      <c r="AG112" s="277"/>
    </row>
    <row r="113" spans="2:33" s="276" customFormat="1" ht="11.5" outlineLevel="1" x14ac:dyDescent="0.25">
      <c r="B113" s="325" t="s">
        <v>271</v>
      </c>
      <c r="C113" s="128">
        <v>110671</v>
      </c>
      <c r="D113" s="477">
        <v>40</v>
      </c>
      <c r="E113" s="305">
        <v>8528000</v>
      </c>
      <c r="F113" s="387">
        <f t="shared" ref="F113:F114" si="181">(G113/E113)-1</f>
        <v>0.10471388367729828</v>
      </c>
      <c r="G113" s="305">
        <v>9421000</v>
      </c>
      <c r="H113" s="321">
        <v>0.04</v>
      </c>
      <c r="I113" s="335">
        <f t="shared" si="161"/>
        <v>9797840</v>
      </c>
      <c r="J113" s="321">
        <v>0.06</v>
      </c>
      <c r="K113" s="335">
        <f t="shared" si="162"/>
        <v>9986260</v>
      </c>
      <c r="L113" s="398">
        <v>147</v>
      </c>
      <c r="M113" s="404">
        <f t="shared" si="163"/>
        <v>1384887000</v>
      </c>
      <c r="N113" s="398">
        <v>159</v>
      </c>
      <c r="O113" s="269">
        <f t="shared" si="164"/>
        <v>1497939000</v>
      </c>
      <c r="P113" s="397">
        <f t="shared" si="165"/>
        <v>2882826000</v>
      </c>
      <c r="Q113" s="397">
        <f t="shared" si="166"/>
        <v>1253616000</v>
      </c>
      <c r="R113" s="397">
        <f t="shared" si="167"/>
        <v>1384994956.8</v>
      </c>
      <c r="S113" s="397">
        <f t="shared" si="179"/>
        <v>-107956.79999995232</v>
      </c>
      <c r="T113" s="397">
        <f t="shared" si="169"/>
        <v>1355952000</v>
      </c>
      <c r="U113" s="269">
        <f t="shared" si="145"/>
        <v>1498055769.5999999</v>
      </c>
      <c r="V113" s="407">
        <f t="shared" si="180"/>
        <v>-116769.59999990463</v>
      </c>
      <c r="W113" s="407">
        <f t="shared" si="171"/>
        <v>-224726.39999985695</v>
      </c>
      <c r="Y113" s="277"/>
      <c r="AA113" s="277"/>
      <c r="AB113" s="278"/>
      <c r="AC113" s="278"/>
      <c r="AD113" s="278"/>
      <c r="AE113" s="278"/>
      <c r="AF113" s="278"/>
      <c r="AG113" s="277"/>
    </row>
    <row r="114" spans="2:33" s="276" customFormat="1" ht="11.5" outlineLevel="1" x14ac:dyDescent="0.25">
      <c r="B114" s="325" t="s">
        <v>359</v>
      </c>
      <c r="C114" s="128">
        <v>108348</v>
      </c>
      <c r="D114" s="476">
        <v>40</v>
      </c>
      <c r="E114" s="305">
        <v>9800000</v>
      </c>
      <c r="F114" s="387">
        <f t="shared" si="181"/>
        <v>0.11479591836734704</v>
      </c>
      <c r="G114" s="305">
        <v>10925000</v>
      </c>
      <c r="H114" s="321">
        <v>0.04</v>
      </c>
      <c r="I114" s="335">
        <f t="shared" si="161"/>
        <v>11362000</v>
      </c>
      <c r="J114" s="321">
        <v>0.06</v>
      </c>
      <c r="K114" s="335">
        <f t="shared" si="162"/>
        <v>11580500</v>
      </c>
      <c r="L114" s="398">
        <v>0</v>
      </c>
      <c r="M114" s="404">
        <f t="shared" si="163"/>
        <v>0</v>
      </c>
      <c r="N114" s="398">
        <v>12</v>
      </c>
      <c r="O114" s="402">
        <f t="shared" si="164"/>
        <v>131100000</v>
      </c>
      <c r="P114" s="397">
        <f t="shared" si="165"/>
        <v>131100000</v>
      </c>
      <c r="Q114" s="397">
        <f t="shared" si="166"/>
        <v>0</v>
      </c>
      <c r="R114" s="397">
        <f t="shared" si="167"/>
        <v>0</v>
      </c>
      <c r="S114" s="397">
        <f t="shared" ref="S114:S117" si="182">M114-R114</f>
        <v>0</v>
      </c>
      <c r="T114" s="397">
        <f t="shared" si="169"/>
        <v>117599999.99999999</v>
      </c>
      <c r="U114" s="402">
        <f t="shared" ref="U114:U117" si="183">($T114*$U$10)+$T114</f>
        <v>129924479.99999999</v>
      </c>
      <c r="V114" s="397">
        <f t="shared" ref="V114:V117" si="184">O114-U114</f>
        <v>1175520.0000000149</v>
      </c>
      <c r="W114" s="407">
        <f t="shared" si="171"/>
        <v>1175520.0000000149</v>
      </c>
      <c r="Y114" s="277"/>
      <c r="AA114" s="277"/>
      <c r="AB114" s="278"/>
      <c r="AC114" s="278"/>
      <c r="AD114" s="278"/>
      <c r="AE114" s="278"/>
      <c r="AF114" s="278"/>
      <c r="AG114" s="277"/>
    </row>
    <row r="115" spans="2:33" s="276" customFormat="1" ht="11.5" outlineLevel="1" x14ac:dyDescent="0.25">
      <c r="B115" s="325" t="s">
        <v>360</v>
      </c>
      <c r="C115" s="128">
        <v>108348</v>
      </c>
      <c r="D115" s="477">
        <v>40</v>
      </c>
      <c r="E115" s="305">
        <v>9800000</v>
      </c>
      <c r="F115" s="387">
        <f t="shared" ref="F115" si="185">(G115/E115)-1</f>
        <v>0.10479591836734703</v>
      </c>
      <c r="G115" s="305">
        <v>10827000</v>
      </c>
      <c r="H115" s="321">
        <v>0.04</v>
      </c>
      <c r="I115" s="335">
        <f t="shared" si="161"/>
        <v>11260080</v>
      </c>
      <c r="J115" s="321">
        <v>0.06</v>
      </c>
      <c r="K115" s="335">
        <f t="shared" si="162"/>
        <v>11476620</v>
      </c>
      <c r="L115" s="398">
        <v>13</v>
      </c>
      <c r="M115" s="404">
        <f t="shared" si="163"/>
        <v>140751000</v>
      </c>
      <c r="N115" s="398">
        <v>12</v>
      </c>
      <c r="O115" s="269">
        <f t="shared" si="164"/>
        <v>129924000</v>
      </c>
      <c r="P115" s="397">
        <f t="shared" si="165"/>
        <v>270675000</v>
      </c>
      <c r="Q115" s="397">
        <f t="shared" si="166"/>
        <v>127399999.99999999</v>
      </c>
      <c r="R115" s="397">
        <f t="shared" si="167"/>
        <v>140751519.99999997</v>
      </c>
      <c r="S115" s="397">
        <f t="shared" si="182"/>
        <v>-519.99999997019768</v>
      </c>
      <c r="T115" s="397">
        <f t="shared" si="169"/>
        <v>117599999.99999999</v>
      </c>
      <c r="U115" s="269">
        <f t="shared" si="183"/>
        <v>129924479.99999999</v>
      </c>
      <c r="V115" s="407">
        <f t="shared" si="184"/>
        <v>-479.99999998509884</v>
      </c>
      <c r="W115" s="407">
        <f t="shared" si="171"/>
        <v>-999.99999995529652</v>
      </c>
      <c r="Y115" s="277"/>
      <c r="AA115" s="277"/>
      <c r="AB115" s="278"/>
      <c r="AC115" s="278"/>
      <c r="AD115" s="278"/>
      <c r="AE115" s="278"/>
      <c r="AF115" s="278"/>
      <c r="AG115" s="277"/>
    </row>
    <row r="116" spans="2:33" s="276" customFormat="1" ht="11.5" outlineLevel="1" x14ac:dyDescent="0.25">
      <c r="B116" s="325" t="s">
        <v>358</v>
      </c>
      <c r="C116" s="128">
        <v>108689</v>
      </c>
      <c r="D116" s="476">
        <v>112</v>
      </c>
      <c r="E116" s="305">
        <v>20640000</v>
      </c>
      <c r="F116" s="387">
        <f>(G116/E116)-1</f>
        <v>0.1147771317829458</v>
      </c>
      <c r="G116" s="305">
        <v>23009000</v>
      </c>
      <c r="H116" s="321">
        <v>0.04</v>
      </c>
      <c r="I116" s="335">
        <f t="shared" si="161"/>
        <v>23929360</v>
      </c>
      <c r="J116" s="321">
        <v>0.06</v>
      </c>
      <c r="K116" s="335">
        <f t="shared" si="162"/>
        <v>24389540</v>
      </c>
      <c r="L116" s="398">
        <v>2</v>
      </c>
      <c r="M116" s="404">
        <f t="shared" si="163"/>
        <v>46018000</v>
      </c>
      <c r="N116" s="398">
        <v>2</v>
      </c>
      <c r="O116" s="402">
        <f t="shared" si="164"/>
        <v>46018000</v>
      </c>
      <c r="P116" s="397">
        <f t="shared" si="165"/>
        <v>92036000</v>
      </c>
      <c r="Q116" s="397">
        <f t="shared" si="166"/>
        <v>41280000</v>
      </c>
      <c r="R116" s="397">
        <f t="shared" si="167"/>
        <v>45606144</v>
      </c>
      <c r="S116" s="397">
        <f t="shared" si="182"/>
        <v>411856</v>
      </c>
      <c r="T116" s="397">
        <f t="shared" si="169"/>
        <v>41280000</v>
      </c>
      <c r="U116" s="402">
        <f t="shared" si="183"/>
        <v>45606144</v>
      </c>
      <c r="V116" s="397">
        <f t="shared" si="184"/>
        <v>411856</v>
      </c>
      <c r="W116" s="407">
        <f t="shared" si="171"/>
        <v>823712</v>
      </c>
      <c r="Y116" s="277"/>
      <c r="AA116" s="277"/>
      <c r="AB116" s="278"/>
      <c r="AC116" s="278"/>
      <c r="AD116" s="278"/>
      <c r="AE116" s="278"/>
      <c r="AF116" s="278"/>
      <c r="AG116" s="277"/>
    </row>
    <row r="117" spans="2:33" s="276" customFormat="1" ht="11.5" outlineLevel="1" x14ac:dyDescent="0.25">
      <c r="B117" s="325" t="s">
        <v>54</v>
      </c>
      <c r="C117" s="128">
        <v>108689</v>
      </c>
      <c r="D117" s="477">
        <v>112</v>
      </c>
      <c r="E117" s="305">
        <v>20640000</v>
      </c>
      <c r="F117" s="387">
        <f>(G117/E117)-1</f>
        <v>0.10479651162790704</v>
      </c>
      <c r="G117" s="305">
        <v>22803000</v>
      </c>
      <c r="H117" s="321">
        <v>0.04</v>
      </c>
      <c r="I117" s="335">
        <f t="shared" si="161"/>
        <v>23715120</v>
      </c>
      <c r="J117" s="321">
        <v>0.06</v>
      </c>
      <c r="K117" s="335">
        <f t="shared" si="162"/>
        <v>24171180</v>
      </c>
      <c r="L117" s="398">
        <v>4</v>
      </c>
      <c r="M117" s="404">
        <f t="shared" si="163"/>
        <v>91212000</v>
      </c>
      <c r="N117" s="398">
        <v>6</v>
      </c>
      <c r="O117" s="269">
        <f t="shared" si="164"/>
        <v>136818000</v>
      </c>
      <c r="P117" s="397">
        <f t="shared" si="165"/>
        <v>228030000</v>
      </c>
      <c r="Q117" s="397">
        <f t="shared" si="166"/>
        <v>82560000</v>
      </c>
      <c r="R117" s="397">
        <f t="shared" si="167"/>
        <v>91212288</v>
      </c>
      <c r="S117" s="397">
        <f t="shared" si="182"/>
        <v>-288</v>
      </c>
      <c r="T117" s="397">
        <f t="shared" si="169"/>
        <v>123840000</v>
      </c>
      <c r="U117" s="269">
        <f t="shared" si="183"/>
        <v>136818432</v>
      </c>
      <c r="V117" s="407">
        <f t="shared" si="184"/>
        <v>-432</v>
      </c>
      <c r="W117" s="407">
        <f t="shared" si="171"/>
        <v>-720</v>
      </c>
      <c r="Y117" s="277"/>
      <c r="AA117" s="277"/>
      <c r="AB117" s="278"/>
      <c r="AC117" s="278"/>
      <c r="AD117" s="278"/>
      <c r="AE117" s="278"/>
      <c r="AF117" s="278"/>
      <c r="AG117" s="277"/>
    </row>
    <row r="118" spans="2:33" s="276" customFormat="1" ht="11.5" outlineLevel="1" x14ac:dyDescent="0.25">
      <c r="B118" s="353"/>
      <c r="C118" s="128"/>
      <c r="D118" s="129"/>
      <c r="E118" s="355"/>
      <c r="F118" s="321"/>
      <c r="G118" s="355"/>
      <c r="H118" s="357"/>
      <c r="I118" s="358"/>
      <c r="J118" s="357"/>
      <c r="K118" s="358"/>
      <c r="L118" s="354"/>
      <c r="M118" s="355"/>
      <c r="N118" s="376"/>
      <c r="O118" s="355"/>
      <c r="P118" s="356"/>
      <c r="Q118" s="356"/>
      <c r="R118" s="356"/>
      <c r="S118" s="356"/>
      <c r="T118" s="356"/>
      <c r="U118" s="356"/>
      <c r="V118" s="356"/>
      <c r="W118" s="356"/>
      <c r="Y118" s="277"/>
      <c r="AA118" s="277"/>
      <c r="AB118" s="278"/>
      <c r="AC118" s="278"/>
      <c r="AD118" s="278"/>
      <c r="AE118" s="278"/>
      <c r="AF118" s="278"/>
      <c r="AG118" s="277"/>
    </row>
    <row r="119" spans="2:33" s="141" customFormat="1" ht="13" outlineLevel="1" x14ac:dyDescent="0.3">
      <c r="B119" s="62" t="s">
        <v>93</v>
      </c>
      <c r="C119" s="329"/>
      <c r="D119" s="330"/>
      <c r="E119" s="311"/>
      <c r="F119" s="321"/>
      <c r="G119" s="318"/>
      <c r="H119" s="301"/>
      <c r="I119" s="301"/>
      <c r="J119" s="301"/>
      <c r="K119" s="301"/>
      <c r="L119" s="318"/>
      <c r="M119" s="318"/>
      <c r="N119" s="301"/>
      <c r="O119" s="318"/>
      <c r="P119" s="318"/>
      <c r="Q119" s="318"/>
      <c r="R119" s="318"/>
      <c r="S119" s="318"/>
      <c r="T119" s="318"/>
      <c r="U119" s="318"/>
      <c r="V119" s="318"/>
      <c r="W119" s="318"/>
      <c r="Y119" s="280"/>
      <c r="AA119" s="280"/>
      <c r="AB119" s="281"/>
      <c r="AC119" s="281"/>
      <c r="AD119" s="281"/>
      <c r="AE119" s="281"/>
      <c r="AF119" s="281"/>
      <c r="AG119" s="280"/>
    </row>
    <row r="120" spans="2:33" s="141" customFormat="1" ht="11.5" outlineLevel="1" x14ac:dyDescent="0.25">
      <c r="B120" s="326" t="s">
        <v>361</v>
      </c>
      <c r="C120" s="128">
        <v>1046</v>
      </c>
      <c r="D120" s="476">
        <v>26</v>
      </c>
      <c r="E120" s="306">
        <v>7454000</v>
      </c>
      <c r="F120" s="387">
        <f t="shared" ref="F120:F140" si="186">(G120/E120)-1</f>
        <v>0.11470351489133357</v>
      </c>
      <c r="G120" s="306">
        <v>8309000</v>
      </c>
      <c r="H120" s="321">
        <v>0.04</v>
      </c>
      <c r="I120" s="335">
        <f t="shared" ref="I120:I141" si="187">+(G120*H120)+G120</f>
        <v>8641360</v>
      </c>
      <c r="J120" s="321">
        <v>0.06</v>
      </c>
      <c r="K120" s="335">
        <f t="shared" ref="K120:K141" si="188">+(G120*J120)+G120</f>
        <v>8807540</v>
      </c>
      <c r="L120" s="398">
        <v>20</v>
      </c>
      <c r="M120" s="404">
        <f t="shared" ref="M120:M141" si="189">+L120*G120</f>
        <v>166180000</v>
      </c>
      <c r="N120" s="398">
        <v>20</v>
      </c>
      <c r="O120" s="402">
        <f t="shared" ref="O120:O141" si="190">+N120*G120</f>
        <v>166180000</v>
      </c>
      <c r="P120" s="397">
        <f t="shared" ref="P120:P141" si="191">+M120+O120</f>
        <v>332360000</v>
      </c>
      <c r="Q120" s="397">
        <f t="shared" ref="Q120:Q141" si="192">M120/(1+F120)</f>
        <v>149080000</v>
      </c>
      <c r="R120" s="397">
        <f t="shared" ref="R120:R141" si="193">($Q120*$R$10)+$Q120</f>
        <v>164703584</v>
      </c>
      <c r="S120" s="397">
        <f t="shared" ref="S120:S141" si="194">M120-R120</f>
        <v>1476416</v>
      </c>
      <c r="T120" s="397">
        <f t="shared" ref="T120:T141" si="195">O120/(1+F120)</f>
        <v>149080000</v>
      </c>
      <c r="U120" s="402">
        <f t="shared" ref="U120:U175" si="196">($T120*$U$10)+$T120</f>
        <v>164703584</v>
      </c>
      <c r="V120" s="397">
        <f t="shared" ref="V120:V141" si="197">O120-U120</f>
        <v>1476416</v>
      </c>
      <c r="W120" s="407">
        <f t="shared" ref="W120:W141" si="198">S120+V120</f>
        <v>2952832</v>
      </c>
      <c r="Y120" s="280"/>
      <c r="AA120" s="280"/>
      <c r="AB120" s="281"/>
      <c r="AC120" s="281"/>
      <c r="AD120" s="281"/>
      <c r="AE120" s="281"/>
      <c r="AF120" s="281"/>
      <c r="AG120" s="280"/>
    </row>
    <row r="121" spans="2:33" s="141" customFormat="1" ht="11.5" outlineLevel="1" x14ac:dyDescent="0.25">
      <c r="B121" s="326" t="s">
        <v>39</v>
      </c>
      <c r="C121" s="128">
        <v>1046</v>
      </c>
      <c r="D121" s="477">
        <v>26</v>
      </c>
      <c r="E121" s="306">
        <v>7454000</v>
      </c>
      <c r="F121" s="387">
        <f t="shared" ref="F121" si="199">(G121/E121)-1</f>
        <v>0.10477595921652805</v>
      </c>
      <c r="G121" s="306">
        <v>8235000</v>
      </c>
      <c r="H121" s="321">
        <v>0.04</v>
      </c>
      <c r="I121" s="335">
        <f t="shared" si="187"/>
        <v>8564400</v>
      </c>
      <c r="J121" s="321">
        <v>0.06</v>
      </c>
      <c r="K121" s="335">
        <f t="shared" si="188"/>
        <v>8729100</v>
      </c>
      <c r="L121" s="398">
        <v>16</v>
      </c>
      <c r="M121" s="404">
        <f t="shared" si="189"/>
        <v>131760000</v>
      </c>
      <c r="N121" s="398">
        <v>20</v>
      </c>
      <c r="O121" s="269">
        <f t="shared" si="190"/>
        <v>164700000</v>
      </c>
      <c r="P121" s="397">
        <f t="shared" si="191"/>
        <v>296460000</v>
      </c>
      <c r="Q121" s="397">
        <f t="shared" si="192"/>
        <v>119264000</v>
      </c>
      <c r="R121" s="397">
        <f t="shared" si="193"/>
        <v>131762867.2</v>
      </c>
      <c r="S121" s="397">
        <f t="shared" si="194"/>
        <v>-2867.2000000029802</v>
      </c>
      <c r="T121" s="397">
        <f t="shared" si="195"/>
        <v>149080000</v>
      </c>
      <c r="U121" s="269">
        <f t="shared" si="196"/>
        <v>164703584</v>
      </c>
      <c r="V121" s="407">
        <f t="shared" si="197"/>
        <v>-3584</v>
      </c>
      <c r="W121" s="407">
        <f t="shared" si="198"/>
        <v>-6451.2000000029802</v>
      </c>
      <c r="Y121" s="280"/>
      <c r="AA121" s="280"/>
      <c r="AB121" s="281"/>
      <c r="AC121" s="281"/>
      <c r="AD121" s="281"/>
      <c r="AE121" s="281"/>
      <c r="AF121" s="281"/>
      <c r="AG121" s="280"/>
    </row>
    <row r="122" spans="2:33" s="276" customFormat="1" ht="11.5" outlineLevel="1" x14ac:dyDescent="0.25">
      <c r="B122" s="326" t="s">
        <v>362</v>
      </c>
      <c r="C122" s="128">
        <v>8663</v>
      </c>
      <c r="D122" s="476">
        <v>24</v>
      </c>
      <c r="E122" s="306">
        <v>12982000</v>
      </c>
      <c r="F122" s="387">
        <f t="shared" si="186"/>
        <v>0.11477430288091206</v>
      </c>
      <c r="G122" s="306">
        <v>14472000</v>
      </c>
      <c r="H122" s="321">
        <v>0.04</v>
      </c>
      <c r="I122" s="335">
        <f t="shared" si="187"/>
        <v>15050880</v>
      </c>
      <c r="J122" s="321">
        <v>0.06</v>
      </c>
      <c r="K122" s="335">
        <f t="shared" si="188"/>
        <v>15340320</v>
      </c>
      <c r="L122" s="398">
        <v>15</v>
      </c>
      <c r="M122" s="404">
        <f t="shared" si="189"/>
        <v>217080000</v>
      </c>
      <c r="N122" s="398">
        <v>15</v>
      </c>
      <c r="O122" s="402">
        <f t="shared" si="190"/>
        <v>217080000</v>
      </c>
      <c r="P122" s="397">
        <f t="shared" si="191"/>
        <v>434160000</v>
      </c>
      <c r="Q122" s="397">
        <f t="shared" si="192"/>
        <v>194730000</v>
      </c>
      <c r="R122" s="397">
        <f t="shared" si="193"/>
        <v>215137704</v>
      </c>
      <c r="S122" s="397">
        <f t="shared" si="194"/>
        <v>1942296</v>
      </c>
      <c r="T122" s="397">
        <f t="shared" si="195"/>
        <v>194730000</v>
      </c>
      <c r="U122" s="402">
        <f t="shared" si="196"/>
        <v>215137704</v>
      </c>
      <c r="V122" s="397">
        <f t="shared" si="197"/>
        <v>1942296</v>
      </c>
      <c r="W122" s="407">
        <f t="shared" si="198"/>
        <v>3884592</v>
      </c>
      <c r="Y122" s="277"/>
      <c r="AA122" s="277"/>
      <c r="AB122" s="278"/>
      <c r="AC122" s="278"/>
      <c r="AD122" s="278"/>
      <c r="AE122" s="278"/>
      <c r="AF122" s="278"/>
      <c r="AG122" s="277"/>
    </row>
    <row r="123" spans="2:33" s="276" customFormat="1" ht="11.5" outlineLevel="1" x14ac:dyDescent="0.25">
      <c r="B123" s="326" t="s">
        <v>40</v>
      </c>
      <c r="C123" s="128">
        <v>8663</v>
      </c>
      <c r="D123" s="477">
        <v>24</v>
      </c>
      <c r="E123" s="306">
        <v>12982000</v>
      </c>
      <c r="F123" s="387">
        <f t="shared" ref="F123" si="200">(G123/E123)-1</f>
        <v>0.1047604375288862</v>
      </c>
      <c r="G123" s="306">
        <v>14342000</v>
      </c>
      <c r="H123" s="321">
        <v>0.04</v>
      </c>
      <c r="I123" s="335">
        <f t="shared" si="187"/>
        <v>14915680</v>
      </c>
      <c r="J123" s="321">
        <v>0.06</v>
      </c>
      <c r="K123" s="335">
        <f t="shared" si="188"/>
        <v>15202520</v>
      </c>
      <c r="L123" s="398">
        <v>14</v>
      </c>
      <c r="M123" s="404">
        <f t="shared" si="189"/>
        <v>200788000</v>
      </c>
      <c r="N123" s="398">
        <v>16</v>
      </c>
      <c r="O123" s="269">
        <f t="shared" si="190"/>
        <v>229472000</v>
      </c>
      <c r="P123" s="397">
        <f t="shared" si="191"/>
        <v>430260000</v>
      </c>
      <c r="Q123" s="397">
        <f t="shared" si="192"/>
        <v>181748000</v>
      </c>
      <c r="R123" s="397">
        <f t="shared" si="193"/>
        <v>200795190.40000001</v>
      </c>
      <c r="S123" s="397">
        <f t="shared" si="194"/>
        <v>-7190.4000000059605</v>
      </c>
      <c r="T123" s="397">
        <f t="shared" si="195"/>
        <v>207712000</v>
      </c>
      <c r="U123" s="269">
        <f t="shared" si="196"/>
        <v>229480217.59999999</v>
      </c>
      <c r="V123" s="407">
        <f t="shared" si="197"/>
        <v>-8217.5999999940395</v>
      </c>
      <c r="W123" s="407">
        <f t="shared" si="198"/>
        <v>-15408</v>
      </c>
      <c r="Y123" s="277"/>
      <c r="AA123" s="277"/>
      <c r="AB123" s="278"/>
      <c r="AC123" s="278"/>
      <c r="AD123" s="278"/>
      <c r="AE123" s="278"/>
      <c r="AF123" s="278"/>
      <c r="AG123" s="277"/>
    </row>
    <row r="124" spans="2:33" s="276" customFormat="1" ht="11.5" outlineLevel="1" x14ac:dyDescent="0.25">
      <c r="B124" s="327" t="s">
        <v>363</v>
      </c>
      <c r="C124" s="128">
        <v>52218</v>
      </c>
      <c r="D124" s="476">
        <v>22</v>
      </c>
      <c r="E124" s="306">
        <v>10425000</v>
      </c>
      <c r="F124" s="387">
        <f t="shared" si="186"/>
        <v>0.11472422062350129</v>
      </c>
      <c r="G124" s="306">
        <v>11621000</v>
      </c>
      <c r="H124" s="321">
        <v>0.04</v>
      </c>
      <c r="I124" s="335">
        <f t="shared" si="187"/>
        <v>12085840</v>
      </c>
      <c r="J124" s="321">
        <v>0.06</v>
      </c>
      <c r="K124" s="335">
        <f t="shared" si="188"/>
        <v>12318260</v>
      </c>
      <c r="L124" s="398">
        <v>27</v>
      </c>
      <c r="M124" s="404">
        <f t="shared" si="189"/>
        <v>313767000</v>
      </c>
      <c r="N124" s="398">
        <v>28</v>
      </c>
      <c r="O124" s="402">
        <f t="shared" si="190"/>
        <v>325388000</v>
      </c>
      <c r="P124" s="397">
        <f t="shared" si="191"/>
        <v>639155000</v>
      </c>
      <c r="Q124" s="397">
        <f t="shared" si="192"/>
        <v>281475000</v>
      </c>
      <c r="R124" s="397">
        <f t="shared" si="193"/>
        <v>310973580</v>
      </c>
      <c r="S124" s="397">
        <f t="shared" si="194"/>
        <v>2793420</v>
      </c>
      <c r="T124" s="397">
        <f t="shared" si="195"/>
        <v>291900000</v>
      </c>
      <c r="U124" s="402">
        <f t="shared" si="196"/>
        <v>322491120</v>
      </c>
      <c r="V124" s="397">
        <f t="shared" si="197"/>
        <v>2896880</v>
      </c>
      <c r="W124" s="407">
        <f t="shared" si="198"/>
        <v>5690300</v>
      </c>
      <c r="Y124" s="277"/>
      <c r="AA124" s="277"/>
      <c r="AB124" s="278"/>
      <c r="AC124" s="278"/>
      <c r="AD124" s="278"/>
      <c r="AE124" s="278"/>
      <c r="AF124" s="278"/>
      <c r="AG124" s="277"/>
    </row>
    <row r="125" spans="2:33" s="276" customFormat="1" ht="11.5" outlineLevel="1" x14ac:dyDescent="0.25">
      <c r="B125" s="327" t="s">
        <v>41</v>
      </c>
      <c r="C125" s="128">
        <v>52218</v>
      </c>
      <c r="D125" s="477">
        <v>22</v>
      </c>
      <c r="E125" s="306">
        <v>10425000</v>
      </c>
      <c r="F125" s="387">
        <f t="shared" ref="F125" si="201">(G125/E125)-1</f>
        <v>0.104748201438849</v>
      </c>
      <c r="G125" s="306">
        <v>11517000</v>
      </c>
      <c r="H125" s="321">
        <v>0.04</v>
      </c>
      <c r="I125" s="335">
        <f t="shared" si="187"/>
        <v>11977680</v>
      </c>
      <c r="J125" s="321">
        <v>0.06</v>
      </c>
      <c r="K125" s="335">
        <f t="shared" si="188"/>
        <v>12208020</v>
      </c>
      <c r="L125" s="398">
        <v>22</v>
      </c>
      <c r="M125" s="404">
        <f t="shared" si="189"/>
        <v>253374000</v>
      </c>
      <c r="N125" s="398">
        <v>27</v>
      </c>
      <c r="O125" s="269">
        <f t="shared" si="190"/>
        <v>310959000</v>
      </c>
      <c r="P125" s="397">
        <f t="shared" si="191"/>
        <v>564333000</v>
      </c>
      <c r="Q125" s="397">
        <f t="shared" si="192"/>
        <v>229349999.99999997</v>
      </c>
      <c r="R125" s="397">
        <f t="shared" si="193"/>
        <v>253385879.99999997</v>
      </c>
      <c r="S125" s="397">
        <f t="shared" si="194"/>
        <v>-11879.999999970198</v>
      </c>
      <c r="T125" s="397">
        <f t="shared" si="195"/>
        <v>281475000</v>
      </c>
      <c r="U125" s="269">
        <f t="shared" si="196"/>
        <v>310973580</v>
      </c>
      <c r="V125" s="407">
        <f t="shared" si="197"/>
        <v>-14580</v>
      </c>
      <c r="W125" s="407">
        <f t="shared" si="198"/>
        <v>-26459.999999970198</v>
      </c>
      <c r="Y125" s="277"/>
      <c r="AA125" s="277"/>
      <c r="AB125" s="278"/>
      <c r="AC125" s="278"/>
      <c r="AD125" s="278"/>
      <c r="AE125" s="278"/>
      <c r="AF125" s="278"/>
      <c r="AG125" s="277"/>
    </row>
    <row r="126" spans="2:33" s="276" customFormat="1" ht="11.5" outlineLevel="1" x14ac:dyDescent="0.25">
      <c r="B126" s="326" t="s">
        <v>364</v>
      </c>
      <c r="C126" s="128">
        <v>53012</v>
      </c>
      <c r="D126" s="476">
        <v>50</v>
      </c>
      <c r="E126" s="306">
        <v>18169000</v>
      </c>
      <c r="F126" s="387">
        <f t="shared" si="186"/>
        <v>0.11475590291155258</v>
      </c>
      <c r="G126" s="306">
        <v>20254000</v>
      </c>
      <c r="H126" s="321">
        <v>0.04</v>
      </c>
      <c r="I126" s="335">
        <f t="shared" si="187"/>
        <v>21064160</v>
      </c>
      <c r="J126" s="321">
        <v>0.06</v>
      </c>
      <c r="K126" s="335">
        <f t="shared" si="188"/>
        <v>21469240</v>
      </c>
      <c r="L126" s="398">
        <v>50</v>
      </c>
      <c r="M126" s="404">
        <f t="shared" si="189"/>
        <v>1012700000</v>
      </c>
      <c r="N126" s="398">
        <v>35</v>
      </c>
      <c r="O126" s="402">
        <f t="shared" si="190"/>
        <v>708890000</v>
      </c>
      <c r="P126" s="397">
        <f t="shared" si="191"/>
        <v>1721590000</v>
      </c>
      <c r="Q126" s="397">
        <f t="shared" si="192"/>
        <v>908450000</v>
      </c>
      <c r="R126" s="397">
        <f t="shared" si="193"/>
        <v>1003655560</v>
      </c>
      <c r="S126" s="397">
        <f t="shared" si="194"/>
        <v>9044440</v>
      </c>
      <c r="T126" s="397">
        <f t="shared" si="195"/>
        <v>635915000</v>
      </c>
      <c r="U126" s="402">
        <f t="shared" si="196"/>
        <v>702558892</v>
      </c>
      <c r="V126" s="397">
        <f t="shared" si="197"/>
        <v>6331108</v>
      </c>
      <c r="W126" s="407">
        <f t="shared" si="198"/>
        <v>15375548</v>
      </c>
      <c r="Y126" s="277"/>
      <c r="AA126" s="277"/>
      <c r="AB126" s="278"/>
      <c r="AC126" s="278"/>
      <c r="AD126" s="278"/>
      <c r="AE126" s="278"/>
      <c r="AF126" s="278"/>
      <c r="AG126" s="277"/>
    </row>
    <row r="127" spans="2:33" s="276" customFormat="1" ht="11.5" outlineLevel="1" x14ac:dyDescent="0.25">
      <c r="B127" s="326" t="s">
        <v>45</v>
      </c>
      <c r="C127" s="128">
        <v>53012</v>
      </c>
      <c r="D127" s="477">
        <v>50</v>
      </c>
      <c r="E127" s="306">
        <v>18169000</v>
      </c>
      <c r="F127" s="387">
        <f t="shared" ref="F127" si="202">(G127/E127)-1</f>
        <v>0.10479387968517795</v>
      </c>
      <c r="G127" s="306">
        <v>20073000</v>
      </c>
      <c r="H127" s="321">
        <v>0.04</v>
      </c>
      <c r="I127" s="335">
        <f t="shared" si="187"/>
        <v>20875920</v>
      </c>
      <c r="J127" s="321">
        <v>0.06</v>
      </c>
      <c r="K127" s="335">
        <f t="shared" si="188"/>
        <v>21277380</v>
      </c>
      <c r="L127" s="398">
        <v>69</v>
      </c>
      <c r="M127" s="404">
        <f t="shared" si="189"/>
        <v>1385037000</v>
      </c>
      <c r="N127" s="398">
        <v>60</v>
      </c>
      <c r="O127" s="269">
        <f t="shared" si="190"/>
        <v>1204380000</v>
      </c>
      <c r="P127" s="397">
        <f t="shared" si="191"/>
        <v>2589417000</v>
      </c>
      <c r="Q127" s="397">
        <f t="shared" si="192"/>
        <v>1253661000</v>
      </c>
      <c r="R127" s="397">
        <f t="shared" si="193"/>
        <v>1385044672.8</v>
      </c>
      <c r="S127" s="397">
        <f t="shared" si="194"/>
        <v>-7672.7999999523163</v>
      </c>
      <c r="T127" s="397">
        <f t="shared" si="195"/>
        <v>1090140000</v>
      </c>
      <c r="U127" s="269">
        <f t="shared" si="196"/>
        <v>1204386672</v>
      </c>
      <c r="V127" s="407">
        <f t="shared" si="197"/>
        <v>-6672</v>
      </c>
      <c r="W127" s="407">
        <f t="shared" si="198"/>
        <v>-14344.799999952316</v>
      </c>
      <c r="Y127" s="277"/>
      <c r="AA127" s="277"/>
      <c r="AB127" s="278"/>
      <c r="AC127" s="278"/>
      <c r="AD127" s="278"/>
      <c r="AE127" s="278"/>
      <c r="AF127" s="278"/>
      <c r="AG127" s="277"/>
    </row>
    <row r="128" spans="2:33" s="276" customFormat="1" ht="11.25" customHeight="1" outlineLevel="1" x14ac:dyDescent="0.25">
      <c r="B128" s="327" t="s">
        <v>365</v>
      </c>
      <c r="C128" s="128">
        <v>106593</v>
      </c>
      <c r="D128" s="476">
        <v>51</v>
      </c>
      <c r="E128" s="306">
        <v>13190000</v>
      </c>
      <c r="F128" s="387">
        <f t="shared" si="186"/>
        <v>0.11478392721758901</v>
      </c>
      <c r="G128" s="306">
        <v>14704000</v>
      </c>
      <c r="H128" s="321">
        <v>0.04</v>
      </c>
      <c r="I128" s="335">
        <f t="shared" si="187"/>
        <v>15292160</v>
      </c>
      <c r="J128" s="321">
        <v>0.06</v>
      </c>
      <c r="K128" s="335">
        <f t="shared" si="188"/>
        <v>15586240</v>
      </c>
      <c r="L128" s="398">
        <v>15</v>
      </c>
      <c r="M128" s="404">
        <f t="shared" si="189"/>
        <v>220560000</v>
      </c>
      <c r="N128" s="398">
        <v>15</v>
      </c>
      <c r="O128" s="402">
        <f t="shared" si="190"/>
        <v>220560000</v>
      </c>
      <c r="P128" s="397">
        <f t="shared" si="191"/>
        <v>441120000</v>
      </c>
      <c r="Q128" s="397">
        <f t="shared" si="192"/>
        <v>197850000</v>
      </c>
      <c r="R128" s="397">
        <f t="shared" si="193"/>
        <v>218584680</v>
      </c>
      <c r="S128" s="397">
        <f t="shared" si="194"/>
        <v>1975320</v>
      </c>
      <c r="T128" s="397">
        <f t="shared" si="195"/>
        <v>197850000</v>
      </c>
      <c r="U128" s="402">
        <f t="shared" si="196"/>
        <v>218584680</v>
      </c>
      <c r="V128" s="397">
        <f t="shared" si="197"/>
        <v>1975320</v>
      </c>
      <c r="W128" s="407">
        <f t="shared" si="198"/>
        <v>3950640</v>
      </c>
      <c r="Y128" s="277"/>
      <c r="AA128" s="277"/>
      <c r="AB128" s="278"/>
      <c r="AC128" s="278"/>
      <c r="AD128" s="278"/>
      <c r="AE128" s="278"/>
      <c r="AF128" s="278"/>
      <c r="AG128" s="277"/>
    </row>
    <row r="129" spans="2:33" s="276" customFormat="1" ht="11.25" customHeight="1" outlineLevel="1" x14ac:dyDescent="0.25">
      <c r="B129" s="327" t="s">
        <v>242</v>
      </c>
      <c r="C129" s="128">
        <v>106593</v>
      </c>
      <c r="D129" s="477">
        <v>51</v>
      </c>
      <c r="E129" s="306">
        <v>13190000</v>
      </c>
      <c r="F129" s="387">
        <f t="shared" ref="F129" si="203">(G129/E129)-1</f>
        <v>0.10477634571645189</v>
      </c>
      <c r="G129" s="306">
        <v>14572000</v>
      </c>
      <c r="H129" s="321">
        <v>0.04</v>
      </c>
      <c r="I129" s="335">
        <f t="shared" si="187"/>
        <v>15154880</v>
      </c>
      <c r="J129" s="321">
        <v>0.06</v>
      </c>
      <c r="K129" s="335">
        <f t="shared" si="188"/>
        <v>15446320</v>
      </c>
      <c r="L129" s="398">
        <v>45</v>
      </c>
      <c r="M129" s="404">
        <f t="shared" si="189"/>
        <v>655740000</v>
      </c>
      <c r="N129" s="398">
        <v>24</v>
      </c>
      <c r="O129" s="269">
        <f t="shared" si="190"/>
        <v>349728000</v>
      </c>
      <c r="P129" s="397">
        <f t="shared" si="191"/>
        <v>1005468000</v>
      </c>
      <c r="Q129" s="397">
        <f t="shared" si="192"/>
        <v>593550000</v>
      </c>
      <c r="R129" s="397">
        <f t="shared" si="193"/>
        <v>655754040</v>
      </c>
      <c r="S129" s="397">
        <f t="shared" si="194"/>
        <v>-14040</v>
      </c>
      <c r="T129" s="397">
        <f t="shared" si="195"/>
        <v>316560000</v>
      </c>
      <c r="U129" s="269">
        <f t="shared" si="196"/>
        <v>349735488</v>
      </c>
      <c r="V129" s="407">
        <f t="shared" si="197"/>
        <v>-7488</v>
      </c>
      <c r="W129" s="407">
        <f t="shared" si="198"/>
        <v>-21528</v>
      </c>
      <c r="Y129" s="277"/>
      <c r="AA129" s="277"/>
      <c r="AB129" s="278"/>
      <c r="AC129" s="278"/>
      <c r="AD129" s="278"/>
      <c r="AE129" s="278"/>
      <c r="AF129" s="278"/>
      <c r="AG129" s="277"/>
    </row>
    <row r="130" spans="2:33" s="276" customFormat="1" ht="11.5" outlineLevel="1" x14ac:dyDescent="0.25">
      <c r="B130" s="327" t="s">
        <v>366</v>
      </c>
      <c r="C130" s="128">
        <v>102758</v>
      </c>
      <c r="D130" s="476">
        <v>45</v>
      </c>
      <c r="E130" s="306">
        <v>12982000</v>
      </c>
      <c r="F130" s="387">
        <f t="shared" si="186"/>
        <v>0.11477430288091206</v>
      </c>
      <c r="G130" s="306">
        <v>14472000</v>
      </c>
      <c r="H130" s="321">
        <v>0.04</v>
      </c>
      <c r="I130" s="335">
        <f t="shared" si="187"/>
        <v>15050880</v>
      </c>
      <c r="J130" s="321">
        <v>0.06</v>
      </c>
      <c r="K130" s="335">
        <f t="shared" si="188"/>
        <v>15340320</v>
      </c>
      <c r="L130" s="398">
        <v>15</v>
      </c>
      <c r="M130" s="404">
        <f t="shared" si="189"/>
        <v>217080000</v>
      </c>
      <c r="N130" s="398">
        <v>15</v>
      </c>
      <c r="O130" s="402">
        <f t="shared" si="190"/>
        <v>217080000</v>
      </c>
      <c r="P130" s="397">
        <f t="shared" si="191"/>
        <v>434160000</v>
      </c>
      <c r="Q130" s="397">
        <f t="shared" si="192"/>
        <v>194730000</v>
      </c>
      <c r="R130" s="397">
        <f t="shared" si="193"/>
        <v>215137704</v>
      </c>
      <c r="S130" s="397">
        <f t="shared" si="194"/>
        <v>1942296</v>
      </c>
      <c r="T130" s="397">
        <f t="shared" si="195"/>
        <v>194730000</v>
      </c>
      <c r="U130" s="402">
        <f t="shared" si="196"/>
        <v>215137704</v>
      </c>
      <c r="V130" s="397">
        <f t="shared" si="197"/>
        <v>1942296</v>
      </c>
      <c r="W130" s="407">
        <f t="shared" si="198"/>
        <v>3884592</v>
      </c>
      <c r="Y130" s="277"/>
      <c r="AA130" s="277"/>
      <c r="AB130" s="278"/>
      <c r="AC130" s="278"/>
      <c r="AD130" s="278"/>
      <c r="AE130" s="278"/>
      <c r="AF130" s="278"/>
      <c r="AG130" s="277"/>
    </row>
    <row r="131" spans="2:33" s="276" customFormat="1" ht="11.5" outlineLevel="1" x14ac:dyDescent="0.25">
      <c r="B131" s="327" t="s">
        <v>46</v>
      </c>
      <c r="C131" s="128">
        <v>102758</v>
      </c>
      <c r="D131" s="477">
        <v>45</v>
      </c>
      <c r="E131" s="306">
        <v>12982000</v>
      </c>
      <c r="F131" s="387">
        <f t="shared" ref="F131" si="204">(G131/E131)-1</f>
        <v>0.1047604375288862</v>
      </c>
      <c r="G131" s="306">
        <v>14342000</v>
      </c>
      <c r="H131" s="321">
        <v>0.04</v>
      </c>
      <c r="I131" s="335">
        <f t="shared" si="187"/>
        <v>14915680</v>
      </c>
      <c r="J131" s="321">
        <v>0.06</v>
      </c>
      <c r="K131" s="335">
        <f t="shared" si="188"/>
        <v>15202520</v>
      </c>
      <c r="L131" s="398">
        <v>32</v>
      </c>
      <c r="M131" s="404">
        <f t="shared" si="189"/>
        <v>458944000</v>
      </c>
      <c r="N131" s="398">
        <v>34</v>
      </c>
      <c r="O131" s="269">
        <f t="shared" si="190"/>
        <v>487628000</v>
      </c>
      <c r="P131" s="397">
        <f t="shared" si="191"/>
        <v>946572000</v>
      </c>
      <c r="Q131" s="397">
        <f t="shared" si="192"/>
        <v>415424000</v>
      </c>
      <c r="R131" s="397">
        <f t="shared" si="193"/>
        <v>458960435.19999999</v>
      </c>
      <c r="S131" s="397">
        <f t="shared" si="194"/>
        <v>-16435.199999988079</v>
      </c>
      <c r="T131" s="397">
        <f t="shared" si="195"/>
        <v>441388000</v>
      </c>
      <c r="U131" s="269">
        <f t="shared" si="196"/>
        <v>487645462.39999998</v>
      </c>
      <c r="V131" s="407">
        <f t="shared" si="197"/>
        <v>-17462.399999976158</v>
      </c>
      <c r="W131" s="407">
        <f t="shared" si="198"/>
        <v>-33897.599999964237</v>
      </c>
      <c r="Y131" s="277"/>
      <c r="AA131" s="277"/>
      <c r="AB131" s="278"/>
      <c r="AC131" s="278"/>
      <c r="AD131" s="278"/>
      <c r="AE131" s="278"/>
      <c r="AF131" s="278"/>
      <c r="AG131" s="277"/>
    </row>
    <row r="132" spans="2:33" s="276" customFormat="1" ht="11.5" outlineLevel="1" x14ac:dyDescent="0.25">
      <c r="B132" s="328" t="s">
        <v>367</v>
      </c>
      <c r="C132" s="290">
        <v>104194</v>
      </c>
      <c r="D132" s="476">
        <v>50</v>
      </c>
      <c r="E132" s="306">
        <v>15270000</v>
      </c>
      <c r="F132" s="387">
        <f t="shared" si="186"/>
        <v>0.11473477406679766</v>
      </c>
      <c r="G132" s="306">
        <v>17022000</v>
      </c>
      <c r="H132" s="321">
        <v>0.04</v>
      </c>
      <c r="I132" s="335">
        <f t="shared" si="187"/>
        <v>17702880</v>
      </c>
      <c r="J132" s="321">
        <v>0.06</v>
      </c>
      <c r="K132" s="335">
        <f t="shared" si="188"/>
        <v>18043320</v>
      </c>
      <c r="L132" s="398">
        <v>20</v>
      </c>
      <c r="M132" s="404">
        <f t="shared" si="189"/>
        <v>340440000</v>
      </c>
      <c r="N132" s="398">
        <v>6</v>
      </c>
      <c r="O132" s="402">
        <f t="shared" si="190"/>
        <v>102132000</v>
      </c>
      <c r="P132" s="397">
        <f t="shared" si="191"/>
        <v>442572000</v>
      </c>
      <c r="Q132" s="397">
        <f t="shared" si="192"/>
        <v>305400000</v>
      </c>
      <c r="R132" s="397">
        <f t="shared" si="193"/>
        <v>337405920</v>
      </c>
      <c r="S132" s="397">
        <f t="shared" si="194"/>
        <v>3034080</v>
      </c>
      <c r="T132" s="397">
        <f t="shared" si="195"/>
        <v>91620000</v>
      </c>
      <c r="U132" s="402">
        <f t="shared" si="196"/>
        <v>101221776</v>
      </c>
      <c r="V132" s="397">
        <f t="shared" si="197"/>
        <v>910224</v>
      </c>
      <c r="W132" s="407">
        <f t="shared" si="198"/>
        <v>3944304</v>
      </c>
      <c r="Y132" s="277"/>
      <c r="AA132" s="277"/>
      <c r="AB132" s="278"/>
      <c r="AC132" s="278"/>
      <c r="AD132" s="278"/>
      <c r="AE132" s="278"/>
      <c r="AF132" s="278"/>
      <c r="AG132" s="277"/>
    </row>
    <row r="133" spans="2:33" s="276" customFormat="1" ht="11.5" outlineLevel="1" x14ac:dyDescent="0.25">
      <c r="B133" s="328" t="s">
        <v>47</v>
      </c>
      <c r="C133" s="290">
        <v>104194</v>
      </c>
      <c r="D133" s="477">
        <v>50</v>
      </c>
      <c r="E133" s="306">
        <v>15270000</v>
      </c>
      <c r="F133" s="387">
        <f t="shared" ref="F133" si="205">(G133/E133)-1</f>
        <v>0.10478061558611662</v>
      </c>
      <c r="G133" s="306">
        <v>16870000</v>
      </c>
      <c r="H133" s="321">
        <v>0.04</v>
      </c>
      <c r="I133" s="335">
        <f t="shared" si="187"/>
        <v>17544800</v>
      </c>
      <c r="J133" s="321">
        <v>0.06</v>
      </c>
      <c r="K133" s="335">
        <f t="shared" si="188"/>
        <v>17882200</v>
      </c>
      <c r="L133" s="398">
        <v>30</v>
      </c>
      <c r="M133" s="404">
        <f t="shared" si="189"/>
        <v>506100000</v>
      </c>
      <c r="N133" s="398">
        <v>29</v>
      </c>
      <c r="O133" s="269">
        <f t="shared" si="190"/>
        <v>489230000</v>
      </c>
      <c r="P133" s="397">
        <f t="shared" si="191"/>
        <v>995330000</v>
      </c>
      <c r="Q133" s="397">
        <f t="shared" si="192"/>
        <v>458100000</v>
      </c>
      <c r="R133" s="397">
        <f t="shared" si="193"/>
        <v>506108880</v>
      </c>
      <c r="S133" s="397">
        <f t="shared" si="194"/>
        <v>-8880</v>
      </c>
      <c r="T133" s="397">
        <f t="shared" si="195"/>
        <v>442830000</v>
      </c>
      <c r="U133" s="269">
        <f t="shared" si="196"/>
        <v>489238584</v>
      </c>
      <c r="V133" s="407">
        <f t="shared" si="197"/>
        <v>-8584</v>
      </c>
      <c r="W133" s="407">
        <f t="shared" si="198"/>
        <v>-17464</v>
      </c>
      <c r="Y133" s="277"/>
      <c r="AA133" s="277"/>
      <c r="AB133" s="278"/>
      <c r="AC133" s="278"/>
      <c r="AD133" s="278"/>
      <c r="AE133" s="278"/>
      <c r="AF133" s="278"/>
      <c r="AG133" s="277"/>
    </row>
    <row r="134" spans="2:33" s="276" customFormat="1" ht="15" customHeight="1" outlineLevel="1" x14ac:dyDescent="0.25">
      <c r="B134" s="326" t="s">
        <v>371</v>
      </c>
      <c r="C134" s="128">
        <v>105155</v>
      </c>
      <c r="D134" s="478">
        <v>50</v>
      </c>
      <c r="E134" s="306">
        <v>19862000</v>
      </c>
      <c r="F134" s="387">
        <f t="shared" si="186"/>
        <v>0.11479206525022656</v>
      </c>
      <c r="G134" s="306">
        <v>22142000</v>
      </c>
      <c r="H134" s="321">
        <v>0.04</v>
      </c>
      <c r="I134" s="335">
        <f t="shared" si="187"/>
        <v>23027680</v>
      </c>
      <c r="J134" s="321">
        <v>0.06</v>
      </c>
      <c r="K134" s="335">
        <f t="shared" si="188"/>
        <v>23470520</v>
      </c>
      <c r="L134" s="398">
        <v>0</v>
      </c>
      <c r="M134" s="404">
        <f t="shared" si="189"/>
        <v>0</v>
      </c>
      <c r="N134" s="398">
        <v>10</v>
      </c>
      <c r="O134" s="402">
        <f t="shared" si="190"/>
        <v>221420000</v>
      </c>
      <c r="P134" s="397">
        <f t="shared" si="191"/>
        <v>221420000</v>
      </c>
      <c r="Q134" s="397">
        <f t="shared" si="192"/>
        <v>0</v>
      </c>
      <c r="R134" s="397">
        <f t="shared" si="193"/>
        <v>0</v>
      </c>
      <c r="S134" s="397">
        <f t="shared" si="194"/>
        <v>0</v>
      </c>
      <c r="T134" s="397">
        <f t="shared" si="195"/>
        <v>198620000</v>
      </c>
      <c r="U134" s="402">
        <f t="shared" si="196"/>
        <v>219435376</v>
      </c>
      <c r="V134" s="397">
        <f t="shared" si="197"/>
        <v>1984624</v>
      </c>
      <c r="W134" s="407">
        <f t="shared" si="198"/>
        <v>1984624</v>
      </c>
      <c r="Y134" s="277"/>
      <c r="AA134" s="277"/>
      <c r="AB134" s="278"/>
      <c r="AC134" s="278"/>
      <c r="AD134" s="278"/>
      <c r="AE134" s="278"/>
      <c r="AF134" s="278"/>
      <c r="AG134" s="277"/>
    </row>
    <row r="135" spans="2:33" s="276" customFormat="1" ht="15" customHeight="1" outlineLevel="1" x14ac:dyDescent="0.25">
      <c r="B135" s="326" t="s">
        <v>272</v>
      </c>
      <c r="C135" s="128">
        <v>105155</v>
      </c>
      <c r="D135" s="479">
        <v>50</v>
      </c>
      <c r="E135" s="306">
        <v>19862000</v>
      </c>
      <c r="F135" s="387">
        <f t="shared" ref="F135" si="206">(G135/E135)-1</f>
        <v>0.10477293323935144</v>
      </c>
      <c r="G135" s="306">
        <v>21943000</v>
      </c>
      <c r="H135" s="321">
        <v>0.04</v>
      </c>
      <c r="I135" s="335">
        <f t="shared" si="187"/>
        <v>22820720</v>
      </c>
      <c r="J135" s="321">
        <v>0.06</v>
      </c>
      <c r="K135" s="335">
        <f t="shared" si="188"/>
        <v>23259580</v>
      </c>
      <c r="L135" s="398">
        <v>12</v>
      </c>
      <c r="M135" s="404">
        <f t="shared" si="189"/>
        <v>263316000</v>
      </c>
      <c r="N135" s="398">
        <v>12</v>
      </c>
      <c r="O135" s="269">
        <f t="shared" si="190"/>
        <v>263316000</v>
      </c>
      <c r="P135" s="397">
        <f t="shared" si="191"/>
        <v>526632000</v>
      </c>
      <c r="Q135" s="397">
        <f t="shared" si="192"/>
        <v>238344000.00000003</v>
      </c>
      <c r="R135" s="397">
        <f t="shared" si="193"/>
        <v>263322451.20000005</v>
      </c>
      <c r="S135" s="397">
        <f t="shared" si="194"/>
        <v>-6451.2000000476837</v>
      </c>
      <c r="T135" s="397">
        <f t="shared" si="195"/>
        <v>238344000.00000003</v>
      </c>
      <c r="U135" s="269">
        <f t="shared" si="196"/>
        <v>263322451.20000005</v>
      </c>
      <c r="V135" s="407">
        <f t="shared" si="197"/>
        <v>-6451.2000000476837</v>
      </c>
      <c r="W135" s="407">
        <f t="shared" si="198"/>
        <v>-12902.400000095367</v>
      </c>
      <c r="Y135" s="277"/>
      <c r="AA135" s="277"/>
      <c r="AB135" s="278"/>
      <c r="AC135" s="278"/>
      <c r="AD135" s="278"/>
      <c r="AE135" s="278"/>
      <c r="AF135" s="278"/>
      <c r="AG135" s="277"/>
    </row>
    <row r="136" spans="2:33" s="276" customFormat="1" ht="11.5" outlineLevel="1" x14ac:dyDescent="0.25">
      <c r="B136" s="327" t="s">
        <v>368</v>
      </c>
      <c r="C136" s="128">
        <v>105077</v>
      </c>
      <c r="D136" s="476">
        <v>52</v>
      </c>
      <c r="E136" s="306">
        <v>15395000</v>
      </c>
      <c r="F136" s="387">
        <f t="shared" si="186"/>
        <v>0.11477752517050988</v>
      </c>
      <c r="G136" s="306">
        <v>17162000</v>
      </c>
      <c r="H136" s="321">
        <v>0.04</v>
      </c>
      <c r="I136" s="335">
        <f t="shared" si="187"/>
        <v>17848480</v>
      </c>
      <c r="J136" s="321">
        <v>0.06</v>
      </c>
      <c r="K136" s="335">
        <f t="shared" si="188"/>
        <v>18191720</v>
      </c>
      <c r="L136" s="398">
        <v>0</v>
      </c>
      <c r="M136" s="404">
        <f t="shared" si="189"/>
        <v>0</v>
      </c>
      <c r="N136" s="398">
        <v>4</v>
      </c>
      <c r="O136" s="402">
        <f t="shared" si="190"/>
        <v>68648000</v>
      </c>
      <c r="P136" s="397">
        <f t="shared" si="191"/>
        <v>68648000</v>
      </c>
      <c r="Q136" s="397">
        <f t="shared" si="192"/>
        <v>0</v>
      </c>
      <c r="R136" s="397">
        <f t="shared" si="193"/>
        <v>0</v>
      </c>
      <c r="S136" s="397">
        <f t="shared" si="194"/>
        <v>0</v>
      </c>
      <c r="T136" s="397">
        <f t="shared" si="195"/>
        <v>61580000</v>
      </c>
      <c r="U136" s="402">
        <f t="shared" si="196"/>
        <v>68033584</v>
      </c>
      <c r="V136" s="397">
        <f t="shared" si="197"/>
        <v>614416</v>
      </c>
      <c r="W136" s="407">
        <f t="shared" si="198"/>
        <v>614416</v>
      </c>
      <c r="Y136" s="277"/>
      <c r="AA136" s="277"/>
      <c r="AB136" s="278"/>
      <c r="AC136" s="278"/>
      <c r="AD136" s="278"/>
      <c r="AE136" s="278"/>
      <c r="AF136" s="278"/>
      <c r="AG136" s="277"/>
    </row>
    <row r="137" spans="2:33" s="276" customFormat="1" ht="11.5" outlineLevel="1" x14ac:dyDescent="0.25">
      <c r="B137" s="327" t="s">
        <v>126</v>
      </c>
      <c r="C137" s="128">
        <v>105077</v>
      </c>
      <c r="D137" s="477">
        <v>52</v>
      </c>
      <c r="E137" s="306">
        <v>15395000</v>
      </c>
      <c r="F137" s="387">
        <f t="shared" ref="F137" si="207">(G137/E137)-1</f>
        <v>0.10477427736278022</v>
      </c>
      <c r="G137" s="306">
        <v>17008000</v>
      </c>
      <c r="H137" s="321">
        <v>0.04</v>
      </c>
      <c r="I137" s="335">
        <f t="shared" si="187"/>
        <v>17688320</v>
      </c>
      <c r="J137" s="321">
        <v>0.06</v>
      </c>
      <c r="K137" s="335">
        <f t="shared" si="188"/>
        <v>18028480</v>
      </c>
      <c r="L137" s="398">
        <v>1</v>
      </c>
      <c r="M137" s="404">
        <f t="shared" si="189"/>
        <v>17008000</v>
      </c>
      <c r="N137" s="398">
        <v>0</v>
      </c>
      <c r="O137" s="269">
        <f t="shared" si="190"/>
        <v>0</v>
      </c>
      <c r="P137" s="397">
        <f t="shared" si="191"/>
        <v>17008000</v>
      </c>
      <c r="Q137" s="397">
        <f t="shared" si="192"/>
        <v>15394999.999999998</v>
      </c>
      <c r="R137" s="397">
        <f t="shared" si="193"/>
        <v>17008395.999999996</v>
      </c>
      <c r="S137" s="397">
        <f t="shared" si="194"/>
        <v>-395.99999999627471</v>
      </c>
      <c r="T137" s="397">
        <f t="shared" si="195"/>
        <v>0</v>
      </c>
      <c r="U137" s="269">
        <f t="shared" si="196"/>
        <v>0</v>
      </c>
      <c r="V137" s="407">
        <f t="shared" si="197"/>
        <v>0</v>
      </c>
      <c r="W137" s="407">
        <f t="shared" si="198"/>
        <v>-395.99999999627471</v>
      </c>
      <c r="Y137" s="277"/>
      <c r="AA137" s="277"/>
      <c r="AB137" s="278"/>
      <c r="AC137" s="278"/>
      <c r="AD137" s="278"/>
      <c r="AE137" s="278"/>
      <c r="AF137" s="278"/>
      <c r="AG137" s="277"/>
    </row>
    <row r="138" spans="2:33" s="276" customFormat="1" ht="11.5" outlineLevel="1" x14ac:dyDescent="0.25">
      <c r="B138" s="326" t="s">
        <v>369</v>
      </c>
      <c r="C138" s="128">
        <v>107942</v>
      </c>
      <c r="D138" s="476">
        <v>40</v>
      </c>
      <c r="E138" s="306">
        <v>13552000</v>
      </c>
      <c r="F138" s="387">
        <f t="shared" si="186"/>
        <v>0.11474321133412047</v>
      </c>
      <c r="G138" s="306">
        <v>15107000</v>
      </c>
      <c r="H138" s="321">
        <v>0.04</v>
      </c>
      <c r="I138" s="335">
        <f t="shared" si="187"/>
        <v>15711280</v>
      </c>
      <c r="J138" s="321">
        <v>0.06</v>
      </c>
      <c r="K138" s="335">
        <f t="shared" si="188"/>
        <v>16013420</v>
      </c>
      <c r="L138" s="398">
        <v>0</v>
      </c>
      <c r="M138" s="404">
        <f t="shared" si="189"/>
        <v>0</v>
      </c>
      <c r="N138" s="398">
        <v>18</v>
      </c>
      <c r="O138" s="402">
        <f t="shared" si="190"/>
        <v>271926000</v>
      </c>
      <c r="P138" s="397">
        <f t="shared" si="191"/>
        <v>271926000</v>
      </c>
      <c r="Q138" s="397">
        <f t="shared" si="192"/>
        <v>0</v>
      </c>
      <c r="R138" s="397">
        <f t="shared" si="193"/>
        <v>0</v>
      </c>
      <c r="S138" s="397">
        <f t="shared" si="194"/>
        <v>0</v>
      </c>
      <c r="T138" s="397">
        <f t="shared" si="195"/>
        <v>243936000</v>
      </c>
      <c r="U138" s="402">
        <f t="shared" si="196"/>
        <v>269500492.80000001</v>
      </c>
      <c r="V138" s="397">
        <f t="shared" si="197"/>
        <v>2425507.1999999881</v>
      </c>
      <c r="W138" s="407">
        <f t="shared" si="198"/>
        <v>2425507.1999999881</v>
      </c>
      <c r="Y138" s="277"/>
      <c r="AA138" s="277"/>
      <c r="AB138" s="278"/>
      <c r="AC138" s="278"/>
      <c r="AD138" s="278"/>
      <c r="AE138" s="278"/>
      <c r="AG138" s="277"/>
    </row>
    <row r="139" spans="2:33" s="276" customFormat="1" ht="11.5" outlineLevel="1" x14ac:dyDescent="0.25">
      <c r="B139" s="326" t="s">
        <v>251</v>
      </c>
      <c r="C139" s="128">
        <v>107942</v>
      </c>
      <c r="D139" s="477">
        <v>40</v>
      </c>
      <c r="E139" s="306">
        <v>13552000</v>
      </c>
      <c r="F139" s="387">
        <f t="shared" ref="F139" si="208">(G139/E139)-1</f>
        <v>0.10478158205430943</v>
      </c>
      <c r="G139" s="306">
        <v>14972000</v>
      </c>
      <c r="H139" s="321">
        <v>0.04</v>
      </c>
      <c r="I139" s="335">
        <f t="shared" si="187"/>
        <v>15570880</v>
      </c>
      <c r="J139" s="321">
        <v>0.06</v>
      </c>
      <c r="K139" s="335">
        <f t="shared" si="188"/>
        <v>15870320</v>
      </c>
      <c r="L139" s="398">
        <v>13</v>
      </c>
      <c r="M139" s="404">
        <f t="shared" si="189"/>
        <v>194636000</v>
      </c>
      <c r="N139" s="398">
        <v>9</v>
      </c>
      <c r="O139" s="269">
        <f t="shared" si="190"/>
        <v>134748000</v>
      </c>
      <c r="P139" s="397">
        <f t="shared" si="191"/>
        <v>329384000</v>
      </c>
      <c r="Q139" s="397">
        <f t="shared" si="192"/>
        <v>176175999.99999997</v>
      </c>
      <c r="R139" s="397">
        <f t="shared" si="193"/>
        <v>194639244.79999995</v>
      </c>
      <c r="S139" s="397">
        <f t="shared" si="194"/>
        <v>-3244.7999999523163</v>
      </c>
      <c r="T139" s="397">
        <f t="shared" si="195"/>
        <v>121967999.99999999</v>
      </c>
      <c r="U139" s="269">
        <f t="shared" si="196"/>
        <v>134750246.39999998</v>
      </c>
      <c r="V139" s="407">
        <f t="shared" si="197"/>
        <v>-2246.3999999761581</v>
      </c>
      <c r="W139" s="407">
        <f t="shared" si="198"/>
        <v>-5491.1999999284744</v>
      </c>
      <c r="Y139" s="277"/>
      <c r="AA139" s="277"/>
      <c r="AB139" s="278"/>
      <c r="AC139" s="278"/>
      <c r="AD139" s="278"/>
      <c r="AE139" s="278"/>
      <c r="AG139" s="277"/>
    </row>
    <row r="140" spans="2:33" s="276" customFormat="1" ht="11.5" outlineLevel="1" x14ac:dyDescent="0.25">
      <c r="B140" s="326" t="s">
        <v>370</v>
      </c>
      <c r="C140" s="128">
        <v>105642</v>
      </c>
      <c r="D140" s="476">
        <v>112</v>
      </c>
      <c r="E140" s="306">
        <v>15395000</v>
      </c>
      <c r="F140" s="387">
        <f t="shared" si="186"/>
        <v>0.11477752517050988</v>
      </c>
      <c r="G140" s="306">
        <v>17162000</v>
      </c>
      <c r="H140" s="321">
        <v>0.04</v>
      </c>
      <c r="I140" s="335">
        <f t="shared" si="187"/>
        <v>17848480</v>
      </c>
      <c r="J140" s="321">
        <v>0.06</v>
      </c>
      <c r="K140" s="335">
        <f t="shared" si="188"/>
        <v>18191720</v>
      </c>
      <c r="L140" s="398">
        <v>0</v>
      </c>
      <c r="M140" s="404">
        <f t="shared" si="189"/>
        <v>0</v>
      </c>
      <c r="N140" s="398">
        <v>4</v>
      </c>
      <c r="O140" s="402">
        <f t="shared" si="190"/>
        <v>68648000</v>
      </c>
      <c r="P140" s="397">
        <f t="shared" si="191"/>
        <v>68648000</v>
      </c>
      <c r="Q140" s="397">
        <f t="shared" si="192"/>
        <v>0</v>
      </c>
      <c r="R140" s="397">
        <f t="shared" si="193"/>
        <v>0</v>
      </c>
      <c r="S140" s="397">
        <f t="shared" si="194"/>
        <v>0</v>
      </c>
      <c r="T140" s="397">
        <f t="shared" si="195"/>
        <v>61580000</v>
      </c>
      <c r="U140" s="402">
        <f t="shared" si="196"/>
        <v>68033584</v>
      </c>
      <c r="V140" s="397">
        <f t="shared" si="197"/>
        <v>614416</v>
      </c>
      <c r="W140" s="407">
        <f t="shared" si="198"/>
        <v>614416</v>
      </c>
      <c r="Y140" s="277"/>
      <c r="AA140" s="277"/>
      <c r="AB140" s="278"/>
      <c r="AC140" s="278"/>
      <c r="AD140" s="278"/>
      <c r="AE140" s="278"/>
      <c r="AG140" s="277"/>
    </row>
    <row r="141" spans="2:33" s="276" customFormat="1" ht="11.5" outlineLevel="1" x14ac:dyDescent="0.25">
      <c r="B141" s="326" t="s">
        <v>127</v>
      </c>
      <c r="C141" s="128">
        <v>105642</v>
      </c>
      <c r="D141" s="477">
        <v>112</v>
      </c>
      <c r="E141" s="306">
        <v>15395000</v>
      </c>
      <c r="F141" s="387">
        <f t="shared" ref="F141:F170" si="209">(G141/E141)-1</f>
        <v>0.10477427736278022</v>
      </c>
      <c r="G141" s="306">
        <v>17008000</v>
      </c>
      <c r="H141" s="321">
        <v>0.04</v>
      </c>
      <c r="I141" s="335">
        <f t="shared" si="187"/>
        <v>17688320</v>
      </c>
      <c r="J141" s="321">
        <v>0.06</v>
      </c>
      <c r="K141" s="335">
        <f t="shared" si="188"/>
        <v>18028480</v>
      </c>
      <c r="L141" s="398">
        <v>16</v>
      </c>
      <c r="M141" s="404">
        <f t="shared" si="189"/>
        <v>272128000</v>
      </c>
      <c r="N141" s="398">
        <v>14</v>
      </c>
      <c r="O141" s="269">
        <f t="shared" si="190"/>
        <v>238112000</v>
      </c>
      <c r="P141" s="397">
        <f t="shared" si="191"/>
        <v>510240000</v>
      </c>
      <c r="Q141" s="397">
        <f t="shared" si="192"/>
        <v>246319999.99999997</v>
      </c>
      <c r="R141" s="397">
        <f t="shared" si="193"/>
        <v>272134335.99999994</v>
      </c>
      <c r="S141" s="397">
        <f t="shared" si="194"/>
        <v>-6335.9999999403954</v>
      </c>
      <c r="T141" s="397">
        <f t="shared" si="195"/>
        <v>215529999.99999997</v>
      </c>
      <c r="U141" s="269">
        <f t="shared" si="196"/>
        <v>238117543.99999997</v>
      </c>
      <c r="V141" s="407">
        <f t="shared" si="197"/>
        <v>-5543.9999999701977</v>
      </c>
      <c r="W141" s="407">
        <f t="shared" si="198"/>
        <v>-11879.999999910593</v>
      </c>
      <c r="Y141" s="277"/>
      <c r="AA141" s="277"/>
      <c r="AB141" s="278"/>
      <c r="AC141" s="278"/>
      <c r="AD141" s="278"/>
      <c r="AE141" s="278"/>
      <c r="AG141" s="277"/>
    </row>
    <row r="142" spans="2:33" s="141" customFormat="1" ht="13" outlineLevel="1" x14ac:dyDescent="0.3">
      <c r="B142" s="312" t="s">
        <v>37</v>
      </c>
      <c r="C142" s="313"/>
      <c r="D142" s="314"/>
      <c r="E142" s="311"/>
      <c r="F142" s="321"/>
      <c r="G142" s="311"/>
      <c r="H142" s="301"/>
      <c r="I142" s="301"/>
      <c r="J142" s="301"/>
      <c r="K142" s="301"/>
      <c r="L142" s="301"/>
      <c r="M142" s="318"/>
      <c r="N142" s="301"/>
      <c r="O142" s="318"/>
      <c r="P142" s="318"/>
      <c r="Q142" s="318"/>
      <c r="R142" s="318"/>
      <c r="S142" s="318"/>
      <c r="T142" s="318"/>
      <c r="U142" s="318"/>
      <c r="V142" s="318"/>
      <c r="W142" s="318"/>
      <c r="Y142" s="280"/>
      <c r="AA142" s="280"/>
      <c r="AB142" s="281"/>
      <c r="AC142" s="281"/>
      <c r="AD142" s="281"/>
      <c r="AE142" s="281"/>
      <c r="AG142" s="280"/>
    </row>
    <row r="143" spans="2:33" s="276" customFormat="1" ht="11.5" outlineLevel="1" x14ac:dyDescent="0.25">
      <c r="B143" s="327" t="s">
        <v>372</v>
      </c>
      <c r="C143" s="290">
        <v>11965</v>
      </c>
      <c r="D143" s="476">
        <v>20</v>
      </c>
      <c r="E143" s="306">
        <v>6757000</v>
      </c>
      <c r="F143" s="387">
        <f t="shared" si="209"/>
        <v>0.11469587094864586</v>
      </c>
      <c r="G143" s="306">
        <v>7532000</v>
      </c>
      <c r="H143" s="321">
        <v>0.04</v>
      </c>
      <c r="I143" s="335">
        <f t="shared" ref="I143:I170" si="210">+(G143*H143)+G143</f>
        <v>7833280</v>
      </c>
      <c r="J143" s="321">
        <v>0.06</v>
      </c>
      <c r="K143" s="335">
        <f t="shared" ref="K143:K170" si="211">+(G143*J143)+G143</f>
        <v>7983920</v>
      </c>
      <c r="L143" s="398">
        <v>25</v>
      </c>
      <c r="M143" s="404">
        <f t="shared" ref="M143:M170" si="212">+L143*G143</f>
        <v>188300000</v>
      </c>
      <c r="N143" s="398">
        <v>25</v>
      </c>
      <c r="O143" s="402">
        <f t="shared" ref="O143:O170" si="213">+N143*G143</f>
        <v>188300000</v>
      </c>
      <c r="P143" s="397">
        <f t="shared" ref="P143:P170" si="214">+M143+O143</f>
        <v>376600000</v>
      </c>
      <c r="Q143" s="397">
        <f t="shared" ref="Q143:Q170" si="215">M143/(1+F143)</f>
        <v>168925000</v>
      </c>
      <c r="R143" s="397">
        <f t="shared" ref="R143:R170" si="216">($Q143*$R$10)+$Q143</f>
        <v>186628340</v>
      </c>
      <c r="S143" s="397">
        <f t="shared" ref="S143:S170" si="217">M143-R143</f>
        <v>1671660</v>
      </c>
      <c r="T143" s="397">
        <f t="shared" ref="T143:T170" si="218">O143/(1+F143)</f>
        <v>168925000</v>
      </c>
      <c r="U143" s="402">
        <f t="shared" si="196"/>
        <v>186628340</v>
      </c>
      <c r="V143" s="397">
        <f t="shared" ref="V143:V170" si="219">O143-U143</f>
        <v>1671660</v>
      </c>
      <c r="W143" s="407">
        <f t="shared" ref="W143:W170" si="220">S143+V143</f>
        <v>3343320</v>
      </c>
      <c r="Y143" s="277"/>
      <c r="AA143" s="277"/>
      <c r="AB143" s="278"/>
      <c r="AC143" s="278"/>
      <c r="AD143" s="278"/>
      <c r="AE143" s="278"/>
      <c r="AG143" s="277"/>
    </row>
    <row r="144" spans="2:33" s="276" customFormat="1" ht="11.5" outlineLevel="1" x14ac:dyDescent="0.25">
      <c r="B144" s="388" t="s">
        <v>55</v>
      </c>
      <c r="C144" s="290">
        <v>11965</v>
      </c>
      <c r="D144" s="477">
        <v>20</v>
      </c>
      <c r="E144" s="306">
        <v>6757000</v>
      </c>
      <c r="F144" s="387">
        <f t="shared" si="209"/>
        <v>0.10478022791179509</v>
      </c>
      <c r="G144" s="306">
        <v>7465000</v>
      </c>
      <c r="H144" s="321">
        <v>0.04</v>
      </c>
      <c r="I144" s="335">
        <f t="shared" si="210"/>
        <v>7763600</v>
      </c>
      <c r="J144" s="321">
        <v>0.06</v>
      </c>
      <c r="K144" s="335">
        <f t="shared" si="211"/>
        <v>7912900</v>
      </c>
      <c r="L144" s="398">
        <v>23</v>
      </c>
      <c r="M144" s="404">
        <f t="shared" si="212"/>
        <v>171695000</v>
      </c>
      <c r="N144" s="398">
        <v>22</v>
      </c>
      <c r="O144" s="269">
        <f t="shared" si="213"/>
        <v>164230000</v>
      </c>
      <c r="P144" s="397">
        <f t="shared" si="214"/>
        <v>335925000</v>
      </c>
      <c r="Q144" s="397">
        <f t="shared" si="215"/>
        <v>155411000</v>
      </c>
      <c r="R144" s="397">
        <f t="shared" si="216"/>
        <v>171698072.80000001</v>
      </c>
      <c r="S144" s="397">
        <f t="shared" si="217"/>
        <v>-3072.8000000119209</v>
      </c>
      <c r="T144" s="397">
        <f t="shared" si="218"/>
        <v>148654000</v>
      </c>
      <c r="U144" s="269">
        <f t="shared" si="196"/>
        <v>164232939.19999999</v>
      </c>
      <c r="V144" s="407">
        <f t="shared" si="219"/>
        <v>-2939.1999999880791</v>
      </c>
      <c r="W144" s="407">
        <f t="shared" si="220"/>
        <v>-6012</v>
      </c>
      <c r="Y144" s="277"/>
      <c r="AA144" s="277"/>
      <c r="AB144" s="278"/>
      <c r="AC144" s="278"/>
      <c r="AD144" s="278"/>
      <c r="AE144" s="278"/>
      <c r="AG144" s="277"/>
    </row>
    <row r="145" spans="2:33" s="276" customFormat="1" ht="11.5" outlineLevel="1" x14ac:dyDescent="0.25">
      <c r="B145" s="326" t="s">
        <v>373</v>
      </c>
      <c r="C145" s="290">
        <v>101784</v>
      </c>
      <c r="D145" s="476">
        <v>24</v>
      </c>
      <c r="E145" s="306">
        <v>11434000</v>
      </c>
      <c r="F145" s="387">
        <f t="shared" si="209"/>
        <v>0.11474549588945249</v>
      </c>
      <c r="G145" s="306">
        <v>12746000</v>
      </c>
      <c r="H145" s="321">
        <v>0.04</v>
      </c>
      <c r="I145" s="335">
        <f t="shared" si="210"/>
        <v>13255840</v>
      </c>
      <c r="J145" s="321">
        <v>0.06</v>
      </c>
      <c r="K145" s="335">
        <f t="shared" si="211"/>
        <v>13510760</v>
      </c>
      <c r="L145" s="398">
        <v>25</v>
      </c>
      <c r="M145" s="404">
        <f t="shared" si="212"/>
        <v>318650000</v>
      </c>
      <c r="N145" s="398">
        <v>23</v>
      </c>
      <c r="O145" s="402">
        <f t="shared" si="213"/>
        <v>293158000</v>
      </c>
      <c r="P145" s="397">
        <f t="shared" si="214"/>
        <v>611808000</v>
      </c>
      <c r="Q145" s="397">
        <f t="shared" si="215"/>
        <v>285850000</v>
      </c>
      <c r="R145" s="397">
        <f t="shared" si="216"/>
        <v>315807080</v>
      </c>
      <c r="S145" s="397">
        <f t="shared" si="217"/>
        <v>2842920</v>
      </c>
      <c r="T145" s="397">
        <f t="shared" si="218"/>
        <v>262982000</v>
      </c>
      <c r="U145" s="402">
        <f t="shared" si="196"/>
        <v>290542513.60000002</v>
      </c>
      <c r="V145" s="397">
        <f t="shared" si="219"/>
        <v>2615486.3999999762</v>
      </c>
      <c r="W145" s="407">
        <f t="shared" si="220"/>
        <v>5458406.3999999762</v>
      </c>
      <c r="Y145" s="277"/>
      <c r="AA145" s="277"/>
      <c r="AB145" s="278"/>
      <c r="AC145" s="278"/>
      <c r="AD145" s="278"/>
      <c r="AE145" s="278"/>
      <c r="AG145" s="277"/>
    </row>
    <row r="146" spans="2:33" s="276" customFormat="1" ht="11.5" outlineLevel="1" x14ac:dyDescent="0.25">
      <c r="B146" s="388" t="s">
        <v>56</v>
      </c>
      <c r="C146" s="290">
        <v>101784</v>
      </c>
      <c r="D146" s="477">
        <v>24</v>
      </c>
      <c r="E146" s="306">
        <v>11434000</v>
      </c>
      <c r="F146" s="387">
        <f t="shared" si="209"/>
        <v>0.10477523176491177</v>
      </c>
      <c r="G146" s="306">
        <v>12632000</v>
      </c>
      <c r="H146" s="321">
        <v>0.04</v>
      </c>
      <c r="I146" s="335">
        <f t="shared" si="210"/>
        <v>13137280</v>
      </c>
      <c r="J146" s="321">
        <v>0.06</v>
      </c>
      <c r="K146" s="335">
        <f t="shared" si="211"/>
        <v>13389920</v>
      </c>
      <c r="L146" s="398">
        <v>22</v>
      </c>
      <c r="M146" s="404">
        <f t="shared" si="212"/>
        <v>277904000</v>
      </c>
      <c r="N146" s="398">
        <v>20</v>
      </c>
      <c r="O146" s="269">
        <f t="shared" si="213"/>
        <v>252640000</v>
      </c>
      <c r="P146" s="397">
        <f t="shared" si="214"/>
        <v>530544000</v>
      </c>
      <c r="Q146" s="397">
        <f t="shared" si="215"/>
        <v>251547999.99999997</v>
      </c>
      <c r="R146" s="397">
        <f t="shared" si="216"/>
        <v>277910230.39999998</v>
      </c>
      <c r="S146" s="397">
        <f t="shared" si="217"/>
        <v>-6230.3999999761581</v>
      </c>
      <c r="T146" s="397">
        <f t="shared" si="218"/>
        <v>228679999.99999997</v>
      </c>
      <c r="U146" s="269">
        <f t="shared" si="196"/>
        <v>252645663.99999997</v>
      </c>
      <c r="V146" s="407">
        <f t="shared" si="219"/>
        <v>-5663.9999999701977</v>
      </c>
      <c r="W146" s="407">
        <f t="shared" si="220"/>
        <v>-11894.399999946356</v>
      </c>
      <c r="Y146" s="277"/>
      <c r="AA146" s="277"/>
      <c r="AB146" s="278"/>
      <c r="AC146" s="278"/>
      <c r="AD146" s="278"/>
      <c r="AE146" s="278"/>
      <c r="AG146" s="277"/>
    </row>
    <row r="147" spans="2:33" s="276" customFormat="1" ht="11.5" outlineLevel="1" x14ac:dyDescent="0.25">
      <c r="B147" s="327" t="s">
        <v>374</v>
      </c>
      <c r="C147" s="290">
        <v>102637</v>
      </c>
      <c r="D147" s="476">
        <v>25</v>
      </c>
      <c r="E147" s="306">
        <v>9974000</v>
      </c>
      <c r="F147" s="387">
        <f t="shared" si="209"/>
        <v>0.11479847603769811</v>
      </c>
      <c r="G147" s="306">
        <v>11119000</v>
      </c>
      <c r="H147" s="321">
        <v>0.04</v>
      </c>
      <c r="I147" s="335">
        <f t="shared" si="210"/>
        <v>11563760</v>
      </c>
      <c r="J147" s="321">
        <v>0.06</v>
      </c>
      <c r="K147" s="335">
        <f t="shared" si="211"/>
        <v>11786140</v>
      </c>
      <c r="L147" s="398">
        <v>20</v>
      </c>
      <c r="M147" s="404">
        <f t="shared" si="212"/>
        <v>222380000</v>
      </c>
      <c r="N147" s="398">
        <v>20</v>
      </c>
      <c r="O147" s="402">
        <f t="shared" si="213"/>
        <v>222380000</v>
      </c>
      <c r="P147" s="397">
        <f t="shared" si="214"/>
        <v>444760000</v>
      </c>
      <c r="Q147" s="397">
        <f t="shared" si="215"/>
        <v>199479999.99999997</v>
      </c>
      <c r="R147" s="397">
        <f t="shared" si="216"/>
        <v>220385503.99999997</v>
      </c>
      <c r="S147" s="397">
        <f t="shared" si="217"/>
        <v>1994496.0000000298</v>
      </c>
      <c r="T147" s="397">
        <f t="shared" si="218"/>
        <v>199479999.99999997</v>
      </c>
      <c r="U147" s="402">
        <f t="shared" si="196"/>
        <v>220385503.99999997</v>
      </c>
      <c r="V147" s="397">
        <f t="shared" si="219"/>
        <v>1994496.0000000298</v>
      </c>
      <c r="W147" s="407">
        <f t="shared" si="220"/>
        <v>3988992.0000000596</v>
      </c>
      <c r="Y147" s="277"/>
      <c r="AA147" s="277"/>
      <c r="AB147" s="278"/>
      <c r="AC147" s="278"/>
      <c r="AD147" s="278"/>
      <c r="AE147" s="278"/>
      <c r="AG147" s="277"/>
    </row>
    <row r="148" spans="2:33" s="276" customFormat="1" ht="11.5" outlineLevel="1" x14ac:dyDescent="0.25">
      <c r="B148" s="393" t="s">
        <v>57</v>
      </c>
      <c r="C148" s="290">
        <v>102637</v>
      </c>
      <c r="D148" s="477">
        <v>25</v>
      </c>
      <c r="E148" s="306">
        <v>9974000</v>
      </c>
      <c r="F148" s="387">
        <f t="shared" si="209"/>
        <v>0.10477240826147982</v>
      </c>
      <c r="G148" s="306">
        <v>11019000</v>
      </c>
      <c r="H148" s="321">
        <v>0.04</v>
      </c>
      <c r="I148" s="335">
        <f t="shared" si="210"/>
        <v>11459760</v>
      </c>
      <c r="J148" s="321">
        <v>0.06</v>
      </c>
      <c r="K148" s="335">
        <f t="shared" si="211"/>
        <v>11680140</v>
      </c>
      <c r="L148" s="398">
        <v>19</v>
      </c>
      <c r="M148" s="404">
        <f t="shared" si="212"/>
        <v>209361000</v>
      </c>
      <c r="N148" s="398">
        <v>19</v>
      </c>
      <c r="O148" s="269">
        <f t="shared" si="213"/>
        <v>209361000</v>
      </c>
      <c r="P148" s="397">
        <f t="shared" si="214"/>
        <v>418722000</v>
      </c>
      <c r="Q148" s="397">
        <f t="shared" si="215"/>
        <v>189506000</v>
      </c>
      <c r="R148" s="397">
        <f t="shared" si="216"/>
        <v>209366228.80000001</v>
      </c>
      <c r="S148" s="397">
        <f t="shared" si="217"/>
        <v>-5228.8000000119209</v>
      </c>
      <c r="T148" s="397">
        <f t="shared" si="218"/>
        <v>189506000</v>
      </c>
      <c r="U148" s="269">
        <f t="shared" si="196"/>
        <v>209366228.80000001</v>
      </c>
      <c r="V148" s="407">
        <f t="shared" si="219"/>
        <v>-5228.8000000119209</v>
      </c>
      <c r="W148" s="407">
        <f t="shared" si="220"/>
        <v>-10457.600000023842</v>
      </c>
      <c r="Y148" s="277"/>
      <c r="AA148" s="277"/>
      <c r="AB148" s="278"/>
      <c r="AC148" s="278"/>
      <c r="AD148" s="278"/>
      <c r="AE148" s="278"/>
      <c r="AG148" s="277"/>
    </row>
    <row r="149" spans="2:33" s="276" customFormat="1" ht="11.5" outlineLevel="1" x14ac:dyDescent="0.25">
      <c r="B149" s="328" t="s">
        <v>375</v>
      </c>
      <c r="C149" s="290">
        <v>54588</v>
      </c>
      <c r="D149" s="476">
        <v>27</v>
      </c>
      <c r="E149" s="306">
        <v>7977000</v>
      </c>
      <c r="F149" s="387">
        <f t="shared" si="209"/>
        <v>0.11470477623166597</v>
      </c>
      <c r="G149" s="306">
        <v>8892000</v>
      </c>
      <c r="H149" s="321">
        <v>0.04</v>
      </c>
      <c r="I149" s="335">
        <f t="shared" si="210"/>
        <v>9247680</v>
      </c>
      <c r="J149" s="321">
        <v>0.06</v>
      </c>
      <c r="K149" s="335">
        <f t="shared" si="211"/>
        <v>9425520</v>
      </c>
      <c r="L149" s="398">
        <v>17</v>
      </c>
      <c r="M149" s="404">
        <f t="shared" si="212"/>
        <v>151164000</v>
      </c>
      <c r="N149" s="398">
        <v>17</v>
      </c>
      <c r="O149" s="402">
        <f t="shared" si="213"/>
        <v>151164000</v>
      </c>
      <c r="P149" s="397">
        <f t="shared" si="214"/>
        <v>302328000</v>
      </c>
      <c r="Q149" s="397">
        <f t="shared" si="215"/>
        <v>135609000</v>
      </c>
      <c r="R149" s="397">
        <f t="shared" si="216"/>
        <v>149820823.19999999</v>
      </c>
      <c r="S149" s="397">
        <f t="shared" si="217"/>
        <v>1343176.8000000119</v>
      </c>
      <c r="T149" s="397">
        <f t="shared" si="218"/>
        <v>135609000</v>
      </c>
      <c r="U149" s="402">
        <f t="shared" si="196"/>
        <v>149820823.19999999</v>
      </c>
      <c r="V149" s="397">
        <f t="shared" si="219"/>
        <v>1343176.8000000119</v>
      </c>
      <c r="W149" s="407">
        <f t="shared" si="220"/>
        <v>2686353.6000000238</v>
      </c>
      <c r="Y149" s="277"/>
      <c r="AA149" s="277"/>
      <c r="AB149" s="278"/>
      <c r="AC149" s="278"/>
      <c r="AD149" s="278"/>
      <c r="AE149" s="278"/>
      <c r="AG149" s="277"/>
    </row>
    <row r="150" spans="2:33" s="276" customFormat="1" ht="11.5" outlineLevel="1" x14ac:dyDescent="0.25">
      <c r="B150" s="389" t="s">
        <v>58</v>
      </c>
      <c r="C150" s="290">
        <v>54588</v>
      </c>
      <c r="D150" s="477">
        <v>27</v>
      </c>
      <c r="E150" s="306">
        <v>7977000</v>
      </c>
      <c r="F150" s="387">
        <f t="shared" si="209"/>
        <v>0.10467594333709407</v>
      </c>
      <c r="G150" s="306">
        <v>8812000</v>
      </c>
      <c r="H150" s="321">
        <v>0.04</v>
      </c>
      <c r="I150" s="335">
        <f t="shared" si="210"/>
        <v>9164480</v>
      </c>
      <c r="J150" s="321">
        <v>0.06</v>
      </c>
      <c r="K150" s="335">
        <f t="shared" si="211"/>
        <v>9340720</v>
      </c>
      <c r="L150" s="398">
        <v>16</v>
      </c>
      <c r="M150" s="404">
        <f t="shared" si="212"/>
        <v>140992000</v>
      </c>
      <c r="N150" s="398">
        <v>17</v>
      </c>
      <c r="O150" s="269">
        <f t="shared" si="213"/>
        <v>149804000</v>
      </c>
      <c r="P150" s="397">
        <f t="shared" si="214"/>
        <v>290796000</v>
      </c>
      <c r="Q150" s="397">
        <f t="shared" si="215"/>
        <v>127632000.00000001</v>
      </c>
      <c r="R150" s="397">
        <f t="shared" si="216"/>
        <v>141007833.60000002</v>
      </c>
      <c r="S150" s="397">
        <f t="shared" si="217"/>
        <v>-15833.600000023842</v>
      </c>
      <c r="T150" s="397">
        <f t="shared" si="218"/>
        <v>135609000</v>
      </c>
      <c r="U150" s="269">
        <f t="shared" si="196"/>
        <v>149820823.19999999</v>
      </c>
      <c r="V150" s="407">
        <f t="shared" si="219"/>
        <v>-16823.199999988079</v>
      </c>
      <c r="W150" s="407">
        <f t="shared" si="220"/>
        <v>-32656.800000011921</v>
      </c>
      <c r="Y150" s="277"/>
      <c r="AA150" s="277"/>
      <c r="AB150" s="278"/>
      <c r="AC150" s="278"/>
      <c r="AD150" s="278"/>
      <c r="AE150" s="278"/>
      <c r="AG150" s="277"/>
    </row>
    <row r="151" spans="2:33" s="276" customFormat="1" ht="11.5" outlineLevel="1" x14ac:dyDescent="0.25">
      <c r="B151" s="326" t="s">
        <v>376</v>
      </c>
      <c r="C151" s="290">
        <v>54931</v>
      </c>
      <c r="D151" s="476">
        <v>25</v>
      </c>
      <c r="E151" s="306">
        <v>9228000</v>
      </c>
      <c r="F151" s="387">
        <f t="shared" si="209"/>
        <v>0.11475942782834858</v>
      </c>
      <c r="G151" s="306">
        <v>10287000</v>
      </c>
      <c r="H151" s="321">
        <v>0.04</v>
      </c>
      <c r="I151" s="335">
        <f t="shared" si="210"/>
        <v>10698480</v>
      </c>
      <c r="J151" s="321">
        <v>0.06</v>
      </c>
      <c r="K151" s="335">
        <f t="shared" si="211"/>
        <v>10904220</v>
      </c>
      <c r="L151" s="398">
        <v>14</v>
      </c>
      <c r="M151" s="404">
        <f t="shared" si="212"/>
        <v>144018000</v>
      </c>
      <c r="N151" s="398">
        <v>0</v>
      </c>
      <c r="O151" s="402">
        <f t="shared" si="213"/>
        <v>0</v>
      </c>
      <c r="P151" s="397">
        <f t="shared" si="214"/>
        <v>144018000</v>
      </c>
      <c r="Q151" s="397">
        <f t="shared" si="215"/>
        <v>129191999.99999999</v>
      </c>
      <c r="R151" s="397">
        <f t="shared" si="216"/>
        <v>142731321.59999999</v>
      </c>
      <c r="S151" s="397">
        <f t="shared" si="217"/>
        <v>1286678.400000006</v>
      </c>
      <c r="T151" s="397">
        <f t="shared" si="218"/>
        <v>0</v>
      </c>
      <c r="U151" s="402">
        <f t="shared" si="196"/>
        <v>0</v>
      </c>
      <c r="V151" s="397">
        <f t="shared" si="219"/>
        <v>0</v>
      </c>
      <c r="W151" s="407">
        <f t="shared" si="220"/>
        <v>1286678.400000006</v>
      </c>
      <c r="Y151" s="277"/>
      <c r="AA151" s="277"/>
      <c r="AB151" s="278"/>
      <c r="AC151" s="278"/>
      <c r="AD151" s="278"/>
      <c r="AE151" s="278"/>
      <c r="AG151" s="277"/>
    </row>
    <row r="152" spans="2:33" s="276" customFormat="1" ht="11.5" outlineLevel="1" x14ac:dyDescent="0.25">
      <c r="B152" s="326" t="s">
        <v>59</v>
      </c>
      <c r="C152" s="290">
        <v>54931</v>
      </c>
      <c r="D152" s="477">
        <v>25</v>
      </c>
      <c r="E152" s="306">
        <v>9228000</v>
      </c>
      <c r="F152" s="387">
        <f t="shared" si="209"/>
        <v>0.10478977026441272</v>
      </c>
      <c r="G152" s="306">
        <v>10195000</v>
      </c>
      <c r="H152" s="321">
        <v>0.04</v>
      </c>
      <c r="I152" s="335">
        <f t="shared" si="210"/>
        <v>10602800</v>
      </c>
      <c r="J152" s="321">
        <v>0.06</v>
      </c>
      <c r="K152" s="335">
        <f t="shared" si="211"/>
        <v>10806700</v>
      </c>
      <c r="L152" s="398">
        <v>0</v>
      </c>
      <c r="M152" s="404">
        <f t="shared" si="212"/>
        <v>0</v>
      </c>
      <c r="N152" s="398">
        <v>16</v>
      </c>
      <c r="O152" s="269">
        <f t="shared" si="213"/>
        <v>163120000</v>
      </c>
      <c r="P152" s="397">
        <f t="shared" si="214"/>
        <v>163120000</v>
      </c>
      <c r="Q152" s="397">
        <f t="shared" si="215"/>
        <v>0</v>
      </c>
      <c r="R152" s="397">
        <f t="shared" si="216"/>
        <v>0</v>
      </c>
      <c r="S152" s="397">
        <f t="shared" si="217"/>
        <v>0</v>
      </c>
      <c r="T152" s="397">
        <f t="shared" si="218"/>
        <v>147648000</v>
      </c>
      <c r="U152" s="269">
        <f t="shared" si="196"/>
        <v>163121510.40000001</v>
      </c>
      <c r="V152" s="407">
        <f t="shared" si="219"/>
        <v>-1510.4000000059605</v>
      </c>
      <c r="W152" s="407">
        <f t="shared" si="220"/>
        <v>-1510.4000000059605</v>
      </c>
      <c r="Y152" s="277"/>
      <c r="AA152" s="277"/>
      <c r="AB152" s="278"/>
      <c r="AC152" s="278"/>
      <c r="AD152" s="278"/>
      <c r="AE152" s="278"/>
      <c r="AG152" s="277"/>
    </row>
    <row r="153" spans="2:33" s="276" customFormat="1" ht="11.5" outlineLevel="1" x14ac:dyDescent="0.25">
      <c r="B153" s="326" t="s">
        <v>377</v>
      </c>
      <c r="C153" s="290">
        <v>106553</v>
      </c>
      <c r="D153" s="476">
        <v>26</v>
      </c>
      <c r="E153" s="306">
        <v>9388000</v>
      </c>
      <c r="F153" s="387">
        <f t="shared" si="209"/>
        <v>0.11472092032381753</v>
      </c>
      <c r="G153" s="306">
        <v>10465000</v>
      </c>
      <c r="H153" s="321">
        <v>0.04</v>
      </c>
      <c r="I153" s="335">
        <f t="shared" si="210"/>
        <v>10883600</v>
      </c>
      <c r="J153" s="321">
        <v>0.06</v>
      </c>
      <c r="K153" s="335">
        <f t="shared" si="211"/>
        <v>11092900</v>
      </c>
      <c r="L153" s="398">
        <v>9</v>
      </c>
      <c r="M153" s="404">
        <f t="shared" si="212"/>
        <v>94185000</v>
      </c>
      <c r="N153" s="398">
        <v>0</v>
      </c>
      <c r="O153" s="402">
        <f t="shared" si="213"/>
        <v>0</v>
      </c>
      <c r="P153" s="397">
        <f t="shared" si="214"/>
        <v>94185000</v>
      </c>
      <c r="Q153" s="397">
        <f t="shared" si="215"/>
        <v>84492000.000000015</v>
      </c>
      <c r="R153" s="397">
        <f t="shared" si="216"/>
        <v>93346761.600000024</v>
      </c>
      <c r="S153" s="397">
        <f t="shared" si="217"/>
        <v>838238.39999997616</v>
      </c>
      <c r="T153" s="397">
        <f t="shared" si="218"/>
        <v>0</v>
      </c>
      <c r="U153" s="402">
        <f t="shared" si="196"/>
        <v>0</v>
      </c>
      <c r="V153" s="397">
        <f t="shared" si="219"/>
        <v>0</v>
      </c>
      <c r="W153" s="407">
        <f t="shared" si="220"/>
        <v>838238.39999997616</v>
      </c>
      <c r="Y153" s="277"/>
      <c r="AA153" s="277"/>
      <c r="AB153" s="278"/>
      <c r="AC153" s="278"/>
      <c r="AD153" s="278"/>
      <c r="AE153" s="278"/>
      <c r="AG153" s="277"/>
    </row>
    <row r="154" spans="2:33" s="276" customFormat="1" ht="11.5" outlineLevel="1" x14ac:dyDescent="0.25">
      <c r="B154" s="392" t="s">
        <v>243</v>
      </c>
      <c r="C154" s="290">
        <v>106553</v>
      </c>
      <c r="D154" s="477">
        <v>26</v>
      </c>
      <c r="E154" s="306">
        <v>9388000</v>
      </c>
      <c r="F154" s="387">
        <f t="shared" si="209"/>
        <v>0.1047081380485726</v>
      </c>
      <c r="G154" s="306">
        <v>10371000</v>
      </c>
      <c r="H154" s="321">
        <v>0.04</v>
      </c>
      <c r="I154" s="335">
        <f t="shared" si="210"/>
        <v>10785840</v>
      </c>
      <c r="J154" s="321">
        <v>0.06</v>
      </c>
      <c r="K154" s="335">
        <f t="shared" si="211"/>
        <v>10993260</v>
      </c>
      <c r="L154" s="398">
        <v>0</v>
      </c>
      <c r="M154" s="404">
        <f t="shared" si="212"/>
        <v>0</v>
      </c>
      <c r="N154" s="398">
        <v>9</v>
      </c>
      <c r="O154" s="269">
        <f t="shared" si="213"/>
        <v>93339000</v>
      </c>
      <c r="P154" s="397">
        <f t="shared" si="214"/>
        <v>93339000</v>
      </c>
      <c r="Q154" s="397">
        <f t="shared" si="215"/>
        <v>0</v>
      </c>
      <c r="R154" s="397">
        <f t="shared" si="216"/>
        <v>0</v>
      </c>
      <c r="S154" s="397">
        <f t="shared" si="217"/>
        <v>0</v>
      </c>
      <c r="T154" s="397">
        <f t="shared" si="218"/>
        <v>84492000</v>
      </c>
      <c r="U154" s="269">
        <f t="shared" si="196"/>
        <v>93346761.599999994</v>
      </c>
      <c r="V154" s="407">
        <f t="shared" si="219"/>
        <v>-7761.5999999940395</v>
      </c>
      <c r="W154" s="407">
        <f t="shared" si="220"/>
        <v>-7761.5999999940395</v>
      </c>
      <c r="Y154" s="277"/>
      <c r="AA154" s="277"/>
      <c r="AB154" s="278"/>
      <c r="AC154" s="278"/>
      <c r="AD154" s="278"/>
      <c r="AE154" s="278"/>
      <c r="AG154" s="277"/>
    </row>
    <row r="155" spans="2:33" s="276" customFormat="1" ht="11.5" outlineLevel="1" x14ac:dyDescent="0.25">
      <c r="B155" s="325" t="s">
        <v>378</v>
      </c>
      <c r="C155" s="290">
        <v>101521</v>
      </c>
      <c r="D155" s="476">
        <v>46</v>
      </c>
      <c r="E155" s="350">
        <v>12319000</v>
      </c>
      <c r="F155" s="387">
        <f t="shared" si="209"/>
        <v>0.1147820439970777</v>
      </c>
      <c r="G155" s="350">
        <v>13733000</v>
      </c>
      <c r="H155" s="321">
        <v>0.04</v>
      </c>
      <c r="I155" s="335">
        <f t="shared" si="210"/>
        <v>14282320</v>
      </c>
      <c r="J155" s="321">
        <v>0.06</v>
      </c>
      <c r="K155" s="335">
        <f t="shared" si="211"/>
        <v>14556980</v>
      </c>
      <c r="L155" s="398">
        <v>0</v>
      </c>
      <c r="M155" s="404">
        <f t="shared" si="212"/>
        <v>0</v>
      </c>
      <c r="N155" s="398">
        <v>28</v>
      </c>
      <c r="O155" s="402">
        <f t="shared" si="213"/>
        <v>384524000</v>
      </c>
      <c r="P155" s="397">
        <f t="shared" si="214"/>
        <v>384524000</v>
      </c>
      <c r="Q155" s="397">
        <f t="shared" si="215"/>
        <v>0</v>
      </c>
      <c r="R155" s="397">
        <f t="shared" si="216"/>
        <v>0</v>
      </c>
      <c r="S155" s="397">
        <f t="shared" si="217"/>
        <v>0</v>
      </c>
      <c r="T155" s="397">
        <f t="shared" si="218"/>
        <v>344932000</v>
      </c>
      <c r="U155" s="402">
        <f t="shared" si="196"/>
        <v>381080873.60000002</v>
      </c>
      <c r="V155" s="397">
        <f t="shared" si="219"/>
        <v>3443126.3999999762</v>
      </c>
      <c r="W155" s="407">
        <f t="shared" si="220"/>
        <v>3443126.3999999762</v>
      </c>
      <c r="Y155" s="277"/>
      <c r="AA155" s="277"/>
      <c r="AB155" s="278"/>
      <c r="AC155" s="278"/>
      <c r="AD155" s="278"/>
      <c r="AE155" s="278"/>
      <c r="AG155" s="277"/>
    </row>
    <row r="156" spans="2:33" s="276" customFormat="1" ht="11.5" outlineLevel="1" x14ac:dyDescent="0.25">
      <c r="B156" s="325" t="s">
        <v>274</v>
      </c>
      <c r="C156" s="290">
        <v>101521</v>
      </c>
      <c r="D156" s="477">
        <v>46</v>
      </c>
      <c r="E156" s="350">
        <v>12319000</v>
      </c>
      <c r="F156" s="387">
        <f t="shared" si="209"/>
        <v>0.10479746732689343</v>
      </c>
      <c r="G156" s="350">
        <v>13610000</v>
      </c>
      <c r="H156" s="321">
        <v>0.04</v>
      </c>
      <c r="I156" s="335">
        <f t="shared" si="210"/>
        <v>14154400</v>
      </c>
      <c r="J156" s="321">
        <v>0.06</v>
      </c>
      <c r="K156" s="335">
        <f t="shared" si="211"/>
        <v>14426600</v>
      </c>
      <c r="L156" s="398">
        <v>27</v>
      </c>
      <c r="M156" s="404">
        <f t="shared" si="212"/>
        <v>367470000</v>
      </c>
      <c r="N156" s="398">
        <v>27</v>
      </c>
      <c r="O156" s="269">
        <f t="shared" si="213"/>
        <v>367470000</v>
      </c>
      <c r="P156" s="397">
        <f t="shared" si="214"/>
        <v>734940000</v>
      </c>
      <c r="Q156" s="397">
        <f t="shared" si="215"/>
        <v>332613000</v>
      </c>
      <c r="R156" s="397">
        <f t="shared" si="216"/>
        <v>367470842.39999998</v>
      </c>
      <c r="S156" s="397">
        <f t="shared" si="217"/>
        <v>-842.39999997615814</v>
      </c>
      <c r="T156" s="397">
        <f t="shared" si="218"/>
        <v>332613000</v>
      </c>
      <c r="U156" s="269">
        <f t="shared" si="196"/>
        <v>367470842.39999998</v>
      </c>
      <c r="V156" s="407">
        <f t="shared" si="219"/>
        <v>-842.39999997615814</v>
      </c>
      <c r="W156" s="407">
        <f t="shared" si="220"/>
        <v>-1684.7999999523163</v>
      </c>
      <c r="Y156" s="277"/>
      <c r="AA156" s="277"/>
      <c r="AB156" s="278"/>
      <c r="AC156" s="278"/>
      <c r="AD156" s="278"/>
      <c r="AE156" s="278"/>
      <c r="AG156" s="277"/>
    </row>
    <row r="157" spans="2:33" s="276" customFormat="1" ht="11.5" outlineLevel="1" x14ac:dyDescent="0.25">
      <c r="B157" s="325" t="s">
        <v>379</v>
      </c>
      <c r="C157" s="290">
        <v>102049</v>
      </c>
      <c r="D157" s="476">
        <v>48</v>
      </c>
      <c r="E157" s="306">
        <v>11434000</v>
      </c>
      <c r="F157" s="387">
        <f t="shared" si="209"/>
        <v>0.11474549588945249</v>
      </c>
      <c r="G157" s="306">
        <v>12746000</v>
      </c>
      <c r="H157" s="321">
        <v>0.04</v>
      </c>
      <c r="I157" s="335">
        <f t="shared" si="210"/>
        <v>13255840</v>
      </c>
      <c r="J157" s="321">
        <v>0.06</v>
      </c>
      <c r="K157" s="335">
        <f t="shared" si="211"/>
        <v>13510760</v>
      </c>
      <c r="L157" s="398">
        <v>15</v>
      </c>
      <c r="M157" s="404">
        <f t="shared" si="212"/>
        <v>191190000</v>
      </c>
      <c r="N157" s="398">
        <v>20</v>
      </c>
      <c r="O157" s="402">
        <f t="shared" si="213"/>
        <v>254920000</v>
      </c>
      <c r="P157" s="397">
        <f t="shared" si="214"/>
        <v>446110000</v>
      </c>
      <c r="Q157" s="397">
        <f t="shared" si="215"/>
        <v>171510000</v>
      </c>
      <c r="R157" s="397">
        <f t="shared" si="216"/>
        <v>189484248</v>
      </c>
      <c r="S157" s="397">
        <f t="shared" si="217"/>
        <v>1705752</v>
      </c>
      <c r="T157" s="397">
        <f t="shared" si="218"/>
        <v>228680000</v>
      </c>
      <c r="U157" s="402">
        <f t="shared" si="196"/>
        <v>252645664</v>
      </c>
      <c r="V157" s="397">
        <f t="shared" si="219"/>
        <v>2274336</v>
      </c>
      <c r="W157" s="407">
        <f t="shared" si="220"/>
        <v>3980088</v>
      </c>
      <c r="Y157" s="277"/>
      <c r="AA157" s="277"/>
      <c r="AB157" s="278"/>
      <c r="AC157" s="278"/>
      <c r="AD157" s="278"/>
      <c r="AE157" s="278"/>
      <c r="AG157" s="277"/>
    </row>
    <row r="158" spans="2:33" s="276" customFormat="1" ht="11.5" outlineLevel="1" x14ac:dyDescent="0.25">
      <c r="B158" s="325" t="s">
        <v>62</v>
      </c>
      <c r="C158" s="290">
        <v>102049</v>
      </c>
      <c r="D158" s="477">
        <v>48</v>
      </c>
      <c r="E158" s="306">
        <v>11434000</v>
      </c>
      <c r="F158" s="387">
        <f t="shared" si="209"/>
        <v>0.10477523176491177</v>
      </c>
      <c r="G158" s="306">
        <v>12632000</v>
      </c>
      <c r="H158" s="321">
        <v>0.04</v>
      </c>
      <c r="I158" s="335">
        <f t="shared" si="210"/>
        <v>13137280</v>
      </c>
      <c r="J158" s="321">
        <v>0.06</v>
      </c>
      <c r="K158" s="335">
        <f t="shared" si="211"/>
        <v>13389920</v>
      </c>
      <c r="L158" s="398">
        <v>38</v>
      </c>
      <c r="M158" s="404">
        <f t="shared" si="212"/>
        <v>480016000</v>
      </c>
      <c r="N158" s="398">
        <v>28</v>
      </c>
      <c r="O158" s="269">
        <f t="shared" si="213"/>
        <v>353696000</v>
      </c>
      <c r="P158" s="397">
        <f t="shared" si="214"/>
        <v>833712000</v>
      </c>
      <c r="Q158" s="397">
        <f t="shared" si="215"/>
        <v>434491999.99999994</v>
      </c>
      <c r="R158" s="397">
        <f t="shared" si="216"/>
        <v>480026761.5999999</v>
      </c>
      <c r="S158" s="397">
        <f t="shared" si="217"/>
        <v>-10761.599999904633</v>
      </c>
      <c r="T158" s="397">
        <f t="shared" si="218"/>
        <v>320152000</v>
      </c>
      <c r="U158" s="269">
        <f t="shared" si="196"/>
        <v>353703929.60000002</v>
      </c>
      <c r="V158" s="407">
        <f t="shared" si="219"/>
        <v>-7929.6000000238419</v>
      </c>
      <c r="W158" s="407">
        <f t="shared" si="220"/>
        <v>-18691.199999928474</v>
      </c>
      <c r="Y158" s="277"/>
      <c r="AA158" s="277"/>
      <c r="AB158" s="278"/>
      <c r="AC158" s="278"/>
      <c r="AD158" s="278"/>
      <c r="AE158" s="278"/>
      <c r="AG158" s="277"/>
    </row>
    <row r="159" spans="2:33" s="276" customFormat="1" ht="11.5" outlineLevel="1" x14ac:dyDescent="0.25">
      <c r="B159" s="325" t="s">
        <v>380</v>
      </c>
      <c r="C159" s="290">
        <v>103307</v>
      </c>
      <c r="D159" s="476">
        <v>45</v>
      </c>
      <c r="E159" s="306">
        <v>10840000</v>
      </c>
      <c r="F159" s="387">
        <f t="shared" si="209"/>
        <v>0.11476014760147613</v>
      </c>
      <c r="G159" s="306">
        <v>12084000</v>
      </c>
      <c r="H159" s="321">
        <v>0.04</v>
      </c>
      <c r="I159" s="335">
        <f t="shared" si="210"/>
        <v>12567360</v>
      </c>
      <c r="J159" s="321">
        <v>0.06</v>
      </c>
      <c r="K159" s="335">
        <f t="shared" si="211"/>
        <v>12809040</v>
      </c>
      <c r="L159" s="398">
        <v>19</v>
      </c>
      <c r="M159" s="404">
        <f t="shared" si="212"/>
        <v>229596000</v>
      </c>
      <c r="N159" s="398">
        <v>0</v>
      </c>
      <c r="O159" s="402">
        <f t="shared" si="213"/>
        <v>0</v>
      </c>
      <c r="P159" s="397">
        <f t="shared" si="214"/>
        <v>229596000</v>
      </c>
      <c r="Q159" s="397">
        <f t="shared" si="215"/>
        <v>205959999.99999997</v>
      </c>
      <c r="R159" s="397">
        <f t="shared" si="216"/>
        <v>227544607.99999997</v>
      </c>
      <c r="S159" s="397">
        <f t="shared" si="217"/>
        <v>2051392.0000000298</v>
      </c>
      <c r="T159" s="397">
        <f t="shared" si="218"/>
        <v>0</v>
      </c>
      <c r="U159" s="402">
        <f t="shared" si="196"/>
        <v>0</v>
      </c>
      <c r="V159" s="397">
        <f t="shared" si="219"/>
        <v>0</v>
      </c>
      <c r="W159" s="407">
        <f t="shared" si="220"/>
        <v>2051392.0000000298</v>
      </c>
      <c r="Y159" s="277"/>
      <c r="AA159" s="277"/>
      <c r="AB159" s="278"/>
      <c r="AC159" s="278"/>
      <c r="AD159" s="278"/>
      <c r="AE159" s="278"/>
      <c r="AG159" s="277"/>
    </row>
    <row r="160" spans="2:33" s="276" customFormat="1" ht="11.5" outlineLevel="1" x14ac:dyDescent="0.25">
      <c r="B160" s="325" t="s">
        <v>102</v>
      </c>
      <c r="C160" s="290">
        <v>103307</v>
      </c>
      <c r="D160" s="477">
        <v>45</v>
      </c>
      <c r="E160" s="306">
        <v>10840000</v>
      </c>
      <c r="F160" s="387">
        <f t="shared" si="209"/>
        <v>0.10479704797047962</v>
      </c>
      <c r="G160" s="306">
        <v>11976000</v>
      </c>
      <c r="H160" s="321">
        <v>0.04</v>
      </c>
      <c r="I160" s="335">
        <f t="shared" si="210"/>
        <v>12455040</v>
      </c>
      <c r="J160" s="321">
        <v>0.06</v>
      </c>
      <c r="K160" s="335">
        <f t="shared" si="211"/>
        <v>12694560</v>
      </c>
      <c r="L160" s="398">
        <v>16</v>
      </c>
      <c r="M160" s="404">
        <f t="shared" si="212"/>
        <v>191616000</v>
      </c>
      <c r="N160" s="398">
        <v>18</v>
      </c>
      <c r="O160" s="269">
        <f t="shared" si="213"/>
        <v>215568000</v>
      </c>
      <c r="P160" s="397">
        <f t="shared" si="214"/>
        <v>407184000</v>
      </c>
      <c r="Q160" s="397">
        <f t="shared" si="215"/>
        <v>173440000</v>
      </c>
      <c r="R160" s="397">
        <f t="shared" si="216"/>
        <v>191616512</v>
      </c>
      <c r="S160" s="397">
        <f t="shared" si="217"/>
        <v>-512</v>
      </c>
      <c r="T160" s="397">
        <f t="shared" si="218"/>
        <v>195120000.00000003</v>
      </c>
      <c r="U160" s="269">
        <f t="shared" si="196"/>
        <v>215568576.00000003</v>
      </c>
      <c r="V160" s="407">
        <f t="shared" si="219"/>
        <v>-576.00000002980232</v>
      </c>
      <c r="W160" s="407">
        <f t="shared" si="220"/>
        <v>-1088.0000000298023</v>
      </c>
      <c r="Y160" s="277"/>
      <c r="AA160" s="277"/>
      <c r="AB160" s="278"/>
      <c r="AC160" s="278"/>
      <c r="AD160" s="278"/>
      <c r="AE160" s="278"/>
      <c r="AG160" s="277"/>
    </row>
    <row r="161" spans="2:33" s="276" customFormat="1" ht="11.5" outlineLevel="1" x14ac:dyDescent="0.25">
      <c r="B161" s="325" t="s">
        <v>381</v>
      </c>
      <c r="C161" s="128">
        <v>105148</v>
      </c>
      <c r="D161" s="476">
        <v>47</v>
      </c>
      <c r="E161" s="306">
        <v>9395000</v>
      </c>
      <c r="F161" s="387">
        <f t="shared" si="209"/>
        <v>0.11474188398084095</v>
      </c>
      <c r="G161" s="306">
        <v>10473000</v>
      </c>
      <c r="H161" s="321">
        <v>0.04</v>
      </c>
      <c r="I161" s="335">
        <f t="shared" si="210"/>
        <v>10891920</v>
      </c>
      <c r="J161" s="321">
        <v>0.06</v>
      </c>
      <c r="K161" s="335">
        <f t="shared" si="211"/>
        <v>11101380</v>
      </c>
      <c r="L161" s="398">
        <v>0</v>
      </c>
      <c r="M161" s="404">
        <f t="shared" si="212"/>
        <v>0</v>
      </c>
      <c r="N161" s="398">
        <v>15</v>
      </c>
      <c r="O161" s="402">
        <f t="shared" si="213"/>
        <v>157095000</v>
      </c>
      <c r="P161" s="397">
        <f t="shared" si="214"/>
        <v>157095000</v>
      </c>
      <c r="Q161" s="397">
        <f t="shared" si="215"/>
        <v>0</v>
      </c>
      <c r="R161" s="397">
        <f t="shared" si="216"/>
        <v>0</v>
      </c>
      <c r="S161" s="397">
        <f t="shared" si="217"/>
        <v>0</v>
      </c>
      <c r="T161" s="397">
        <f t="shared" si="218"/>
        <v>140925000</v>
      </c>
      <c r="U161" s="402">
        <f t="shared" si="196"/>
        <v>155693940</v>
      </c>
      <c r="V161" s="397">
        <f t="shared" si="219"/>
        <v>1401060</v>
      </c>
      <c r="W161" s="407">
        <f t="shared" si="220"/>
        <v>1401060</v>
      </c>
      <c r="Y161" s="277"/>
      <c r="AA161" s="277"/>
      <c r="AB161" s="278"/>
      <c r="AC161" s="278"/>
      <c r="AD161" s="278"/>
      <c r="AE161" s="278"/>
      <c r="AG161" s="277"/>
    </row>
    <row r="162" spans="2:33" s="276" customFormat="1" ht="11.5" outlineLevel="1" x14ac:dyDescent="0.25">
      <c r="B162" s="325" t="s">
        <v>103</v>
      </c>
      <c r="C162" s="128">
        <v>105148</v>
      </c>
      <c r="D162" s="477">
        <v>47</v>
      </c>
      <c r="E162" s="306">
        <v>9395000</v>
      </c>
      <c r="F162" s="387">
        <f t="shared" si="209"/>
        <v>0.10473656200106429</v>
      </c>
      <c r="G162" s="306">
        <v>10379000</v>
      </c>
      <c r="H162" s="321">
        <v>0.04</v>
      </c>
      <c r="I162" s="335">
        <f t="shared" si="210"/>
        <v>10794160</v>
      </c>
      <c r="J162" s="321">
        <v>0.06</v>
      </c>
      <c r="K162" s="335">
        <f t="shared" si="211"/>
        <v>11001740</v>
      </c>
      <c r="L162" s="398">
        <v>26</v>
      </c>
      <c r="M162" s="404">
        <f t="shared" si="212"/>
        <v>269854000</v>
      </c>
      <c r="N162" s="398">
        <v>12</v>
      </c>
      <c r="O162" s="269">
        <f t="shared" si="213"/>
        <v>124548000</v>
      </c>
      <c r="P162" s="397">
        <f t="shared" si="214"/>
        <v>394402000</v>
      </c>
      <c r="Q162" s="397">
        <f t="shared" si="215"/>
        <v>244270000.00000003</v>
      </c>
      <c r="R162" s="397">
        <f t="shared" si="216"/>
        <v>269869496.00000006</v>
      </c>
      <c r="S162" s="397">
        <f t="shared" si="217"/>
        <v>-15496.000000059605</v>
      </c>
      <c r="T162" s="397">
        <f t="shared" si="218"/>
        <v>112740000.00000001</v>
      </c>
      <c r="U162" s="269">
        <f t="shared" si="196"/>
        <v>124555152.00000001</v>
      </c>
      <c r="V162" s="407">
        <f t="shared" si="219"/>
        <v>-7152.0000000149012</v>
      </c>
      <c r="W162" s="407">
        <f t="shared" si="220"/>
        <v>-22648.000000074506</v>
      </c>
      <c r="Y162" s="277"/>
      <c r="AA162" s="277"/>
      <c r="AB162" s="278"/>
      <c r="AC162" s="278"/>
      <c r="AD162" s="278"/>
      <c r="AE162" s="278"/>
      <c r="AG162" s="277"/>
    </row>
    <row r="163" spans="2:33" s="276" customFormat="1" ht="11.5" outlineLevel="1" x14ac:dyDescent="0.25">
      <c r="B163" s="378" t="s">
        <v>382</v>
      </c>
      <c r="C163" s="128">
        <v>104696</v>
      </c>
      <c r="D163" s="476">
        <v>44</v>
      </c>
      <c r="E163" s="306">
        <v>6968000</v>
      </c>
      <c r="F163" s="387">
        <f t="shared" si="209"/>
        <v>0.114667049368542</v>
      </c>
      <c r="G163" s="306">
        <v>7767000</v>
      </c>
      <c r="H163" s="321">
        <v>0.04</v>
      </c>
      <c r="I163" s="335">
        <f t="shared" si="210"/>
        <v>8077680</v>
      </c>
      <c r="J163" s="321">
        <v>0.06</v>
      </c>
      <c r="K163" s="335">
        <f t="shared" si="211"/>
        <v>8233020</v>
      </c>
      <c r="L163" s="398">
        <v>0</v>
      </c>
      <c r="M163" s="404">
        <f t="shared" si="212"/>
        <v>0</v>
      </c>
      <c r="N163" s="398">
        <v>20</v>
      </c>
      <c r="O163" s="402">
        <f t="shared" si="213"/>
        <v>155340000</v>
      </c>
      <c r="P163" s="397">
        <f t="shared" si="214"/>
        <v>155340000</v>
      </c>
      <c r="Q163" s="397">
        <f t="shared" si="215"/>
        <v>0</v>
      </c>
      <c r="R163" s="397">
        <f t="shared" si="216"/>
        <v>0</v>
      </c>
      <c r="S163" s="397">
        <f t="shared" si="217"/>
        <v>0</v>
      </c>
      <c r="T163" s="397">
        <f t="shared" si="218"/>
        <v>139360000</v>
      </c>
      <c r="U163" s="402">
        <f t="shared" si="196"/>
        <v>153964928</v>
      </c>
      <c r="V163" s="397">
        <f t="shared" si="219"/>
        <v>1375072</v>
      </c>
      <c r="W163" s="407">
        <f t="shared" si="220"/>
        <v>1375072</v>
      </c>
      <c r="Y163" s="277"/>
      <c r="AA163" s="277"/>
      <c r="AB163" s="278"/>
      <c r="AC163" s="278"/>
      <c r="AD163" s="278"/>
      <c r="AE163" s="278"/>
      <c r="AG163" s="277"/>
    </row>
    <row r="164" spans="2:33" s="276" customFormat="1" ht="11.5" outlineLevel="1" x14ac:dyDescent="0.25">
      <c r="B164" s="378" t="s">
        <v>302</v>
      </c>
      <c r="C164" s="128">
        <v>104696</v>
      </c>
      <c r="D164" s="477">
        <v>44</v>
      </c>
      <c r="E164" s="317">
        <v>6968000</v>
      </c>
      <c r="F164" s="387">
        <f t="shared" si="209"/>
        <v>0.104764638346728</v>
      </c>
      <c r="G164" s="317">
        <v>7698000</v>
      </c>
      <c r="H164" s="321">
        <v>0.04</v>
      </c>
      <c r="I164" s="335">
        <f t="shared" si="210"/>
        <v>8005920</v>
      </c>
      <c r="J164" s="321">
        <v>0.06</v>
      </c>
      <c r="K164" s="335">
        <f t="shared" si="211"/>
        <v>8159880</v>
      </c>
      <c r="L164" s="398">
        <v>34</v>
      </c>
      <c r="M164" s="404">
        <f t="shared" si="212"/>
        <v>261732000</v>
      </c>
      <c r="N164" s="398">
        <v>21</v>
      </c>
      <c r="O164" s="269">
        <f t="shared" si="213"/>
        <v>161658000</v>
      </c>
      <c r="P164" s="397">
        <f t="shared" si="214"/>
        <v>423390000</v>
      </c>
      <c r="Q164" s="397">
        <f t="shared" si="215"/>
        <v>236911999.99999997</v>
      </c>
      <c r="R164" s="397">
        <f t="shared" si="216"/>
        <v>261740377.59999996</v>
      </c>
      <c r="S164" s="397">
        <f t="shared" si="217"/>
        <v>-8377.5999999642372</v>
      </c>
      <c r="T164" s="397">
        <f t="shared" si="218"/>
        <v>146328000</v>
      </c>
      <c r="U164" s="269">
        <f t="shared" si="196"/>
        <v>161663174.40000001</v>
      </c>
      <c r="V164" s="407">
        <f t="shared" si="219"/>
        <v>-5174.4000000059605</v>
      </c>
      <c r="W164" s="407">
        <f t="shared" si="220"/>
        <v>-13551.999999970198</v>
      </c>
      <c r="Y164" s="277"/>
      <c r="AA164" s="277"/>
      <c r="AB164" s="278"/>
      <c r="AC164" s="278"/>
      <c r="AD164" s="278"/>
      <c r="AE164" s="278"/>
      <c r="AG164" s="277"/>
    </row>
    <row r="165" spans="2:33" s="276" customFormat="1" ht="12" customHeight="1" outlineLevel="1" x14ac:dyDescent="0.25">
      <c r="B165" s="325" t="s">
        <v>383</v>
      </c>
      <c r="C165" s="290">
        <v>109221</v>
      </c>
      <c r="D165" s="476">
        <v>49</v>
      </c>
      <c r="E165" s="317">
        <v>10299000</v>
      </c>
      <c r="F165" s="387">
        <f t="shared" si="209"/>
        <v>0.11476842411884647</v>
      </c>
      <c r="G165" s="317">
        <v>11481000</v>
      </c>
      <c r="H165" s="321">
        <v>0.04</v>
      </c>
      <c r="I165" s="335">
        <f t="shared" si="210"/>
        <v>11940240</v>
      </c>
      <c r="J165" s="321">
        <v>0.06</v>
      </c>
      <c r="K165" s="335">
        <f t="shared" si="211"/>
        <v>12169860</v>
      </c>
      <c r="L165" s="398">
        <v>20</v>
      </c>
      <c r="M165" s="404">
        <f t="shared" si="212"/>
        <v>229620000</v>
      </c>
      <c r="N165" s="398">
        <v>0</v>
      </c>
      <c r="O165" s="402">
        <f t="shared" si="213"/>
        <v>0</v>
      </c>
      <c r="P165" s="397">
        <f t="shared" si="214"/>
        <v>229620000</v>
      </c>
      <c r="Q165" s="397">
        <f t="shared" si="215"/>
        <v>205980000</v>
      </c>
      <c r="R165" s="397">
        <f t="shared" si="216"/>
        <v>227566704</v>
      </c>
      <c r="S165" s="397">
        <f t="shared" si="217"/>
        <v>2053296</v>
      </c>
      <c r="T165" s="397">
        <f t="shared" si="218"/>
        <v>0</v>
      </c>
      <c r="U165" s="402">
        <f t="shared" si="196"/>
        <v>0</v>
      </c>
      <c r="V165" s="397">
        <f t="shared" si="219"/>
        <v>0</v>
      </c>
      <c r="W165" s="407">
        <f t="shared" si="220"/>
        <v>2053296</v>
      </c>
      <c r="Y165" s="277"/>
      <c r="AA165" s="277"/>
      <c r="AB165" s="278"/>
      <c r="AC165" s="278"/>
      <c r="AD165" s="278"/>
      <c r="AE165" s="278"/>
      <c r="AG165" s="277"/>
    </row>
    <row r="166" spans="2:33" s="276" customFormat="1" ht="12" customHeight="1" outlineLevel="1" x14ac:dyDescent="0.25">
      <c r="B166" s="325" t="s">
        <v>259</v>
      </c>
      <c r="C166" s="290">
        <v>109221</v>
      </c>
      <c r="D166" s="477">
        <v>49</v>
      </c>
      <c r="E166" s="317">
        <v>10299000</v>
      </c>
      <c r="F166" s="387">
        <f t="shared" si="209"/>
        <v>0.10476745315079139</v>
      </c>
      <c r="G166" s="317">
        <v>11378000</v>
      </c>
      <c r="H166" s="321">
        <v>0.04</v>
      </c>
      <c r="I166" s="335">
        <f t="shared" si="210"/>
        <v>11833120</v>
      </c>
      <c r="J166" s="321">
        <v>0.06</v>
      </c>
      <c r="K166" s="335">
        <f t="shared" si="211"/>
        <v>12060680</v>
      </c>
      <c r="L166" s="398">
        <v>20</v>
      </c>
      <c r="M166" s="404">
        <f t="shared" si="212"/>
        <v>227560000</v>
      </c>
      <c r="N166" s="398">
        <v>24</v>
      </c>
      <c r="O166" s="269">
        <f t="shared" si="213"/>
        <v>273072000</v>
      </c>
      <c r="P166" s="397">
        <f t="shared" si="214"/>
        <v>500632000</v>
      </c>
      <c r="Q166" s="397">
        <f t="shared" si="215"/>
        <v>205980000</v>
      </c>
      <c r="R166" s="397">
        <f t="shared" si="216"/>
        <v>227566704</v>
      </c>
      <c r="S166" s="397">
        <f t="shared" si="217"/>
        <v>-6704</v>
      </c>
      <c r="T166" s="397">
        <f t="shared" si="218"/>
        <v>247176000</v>
      </c>
      <c r="U166" s="269">
        <f t="shared" si="196"/>
        <v>273080044.80000001</v>
      </c>
      <c r="V166" s="407">
        <f t="shared" si="219"/>
        <v>-8044.8000000119209</v>
      </c>
      <c r="W166" s="407">
        <f t="shared" si="220"/>
        <v>-14748.800000011921</v>
      </c>
      <c r="Y166" s="277"/>
      <c r="AA166" s="277"/>
      <c r="AB166" s="278"/>
      <c r="AC166" s="278"/>
      <c r="AD166" s="278"/>
      <c r="AE166" s="278"/>
      <c r="AG166" s="277"/>
    </row>
    <row r="167" spans="2:33" s="276" customFormat="1" ht="12" customHeight="1" outlineLevel="1" x14ac:dyDescent="0.25">
      <c r="B167" s="325" t="s">
        <v>384</v>
      </c>
      <c r="C167" s="290">
        <v>109138</v>
      </c>
      <c r="D167" s="476">
        <v>42</v>
      </c>
      <c r="E167" s="305">
        <v>11527000</v>
      </c>
      <c r="F167" s="387">
        <f t="shared" si="209"/>
        <v>0.11477400884878985</v>
      </c>
      <c r="G167" s="305">
        <v>12850000</v>
      </c>
      <c r="H167" s="321">
        <v>0.04</v>
      </c>
      <c r="I167" s="335">
        <f t="shared" si="210"/>
        <v>13364000</v>
      </c>
      <c r="J167" s="321">
        <v>0.06</v>
      </c>
      <c r="K167" s="335">
        <f t="shared" si="211"/>
        <v>13621000</v>
      </c>
      <c r="L167" s="398">
        <v>16</v>
      </c>
      <c r="M167" s="404">
        <f t="shared" si="212"/>
        <v>205600000</v>
      </c>
      <c r="N167" s="398">
        <v>0</v>
      </c>
      <c r="O167" s="402">
        <f t="shared" si="213"/>
        <v>0</v>
      </c>
      <c r="P167" s="397">
        <f t="shared" si="214"/>
        <v>205600000</v>
      </c>
      <c r="Q167" s="397">
        <f t="shared" si="215"/>
        <v>184432000</v>
      </c>
      <c r="R167" s="397">
        <f t="shared" si="216"/>
        <v>203760473.59999999</v>
      </c>
      <c r="S167" s="397">
        <f t="shared" si="217"/>
        <v>1839526.400000006</v>
      </c>
      <c r="T167" s="397">
        <f t="shared" si="218"/>
        <v>0</v>
      </c>
      <c r="U167" s="402">
        <f t="shared" si="196"/>
        <v>0</v>
      </c>
      <c r="V167" s="397">
        <f t="shared" si="219"/>
        <v>0</v>
      </c>
      <c r="W167" s="407">
        <f t="shared" si="220"/>
        <v>1839526.400000006</v>
      </c>
      <c r="Y167" s="277"/>
      <c r="AA167" s="277"/>
      <c r="AB167" s="278"/>
      <c r="AC167" s="278"/>
      <c r="AD167" s="278"/>
      <c r="AE167" s="278"/>
      <c r="AG167" s="277"/>
    </row>
    <row r="168" spans="2:33" s="276" customFormat="1" ht="12" customHeight="1" outlineLevel="1" x14ac:dyDescent="0.25">
      <c r="B168" s="392" t="s">
        <v>260</v>
      </c>
      <c r="C168" s="290">
        <v>109138</v>
      </c>
      <c r="D168" s="477">
        <v>42</v>
      </c>
      <c r="E168" s="305">
        <v>11527000</v>
      </c>
      <c r="F168" s="387">
        <f t="shared" si="209"/>
        <v>0.10479743211590176</v>
      </c>
      <c r="G168" s="305">
        <v>12735000</v>
      </c>
      <c r="H168" s="321">
        <v>0.04</v>
      </c>
      <c r="I168" s="335">
        <f t="shared" si="210"/>
        <v>13244400</v>
      </c>
      <c r="J168" s="321">
        <v>0.06</v>
      </c>
      <c r="K168" s="335">
        <f t="shared" si="211"/>
        <v>13499100</v>
      </c>
      <c r="L168" s="398">
        <v>12</v>
      </c>
      <c r="M168" s="404">
        <f t="shared" si="212"/>
        <v>152820000</v>
      </c>
      <c r="N168" s="398">
        <v>16</v>
      </c>
      <c r="O168" s="269">
        <f t="shared" si="213"/>
        <v>203760000</v>
      </c>
      <c r="P168" s="397">
        <f t="shared" si="214"/>
        <v>356580000</v>
      </c>
      <c r="Q168" s="397">
        <f t="shared" si="215"/>
        <v>138324000</v>
      </c>
      <c r="R168" s="397">
        <f t="shared" si="216"/>
        <v>152820355.19999999</v>
      </c>
      <c r="S168" s="397">
        <f t="shared" si="217"/>
        <v>-355.19999998807907</v>
      </c>
      <c r="T168" s="397">
        <f t="shared" si="218"/>
        <v>184432000</v>
      </c>
      <c r="U168" s="269">
        <f t="shared" si="196"/>
        <v>203760473.59999999</v>
      </c>
      <c r="V168" s="407">
        <f t="shared" si="219"/>
        <v>-473.59999999403954</v>
      </c>
      <c r="W168" s="407">
        <f t="shared" si="220"/>
        <v>-828.79999998211861</v>
      </c>
      <c r="Y168" s="277"/>
      <c r="AA168" s="277"/>
      <c r="AB168" s="278"/>
      <c r="AC168" s="278"/>
      <c r="AD168" s="278"/>
      <c r="AE168" s="278"/>
      <c r="AG168" s="277"/>
    </row>
    <row r="169" spans="2:33" s="7" customFormat="1" ht="12" customHeight="1" outlineLevel="1" x14ac:dyDescent="0.25">
      <c r="B169" s="351" t="s">
        <v>385</v>
      </c>
      <c r="C169" s="290">
        <v>105987</v>
      </c>
      <c r="D169" s="476">
        <v>93</v>
      </c>
      <c r="E169" s="352">
        <v>15803000</v>
      </c>
      <c r="F169" s="387">
        <f t="shared" si="209"/>
        <v>0.1147883313294944</v>
      </c>
      <c r="G169" s="352">
        <v>17617000</v>
      </c>
      <c r="H169" s="321">
        <v>0.04</v>
      </c>
      <c r="I169" s="335">
        <f t="shared" si="210"/>
        <v>18321680</v>
      </c>
      <c r="J169" s="321">
        <v>0.06</v>
      </c>
      <c r="K169" s="335">
        <f t="shared" si="211"/>
        <v>18674020</v>
      </c>
      <c r="L169" s="398">
        <v>1</v>
      </c>
      <c r="M169" s="404">
        <f t="shared" si="212"/>
        <v>17617000</v>
      </c>
      <c r="N169" s="398">
        <v>0</v>
      </c>
      <c r="O169" s="402">
        <f t="shared" si="213"/>
        <v>0</v>
      </c>
      <c r="P169" s="397">
        <f t="shared" si="214"/>
        <v>17617000</v>
      </c>
      <c r="Q169" s="397">
        <f t="shared" si="215"/>
        <v>15803000</v>
      </c>
      <c r="R169" s="397">
        <f t="shared" si="216"/>
        <v>17459154.399999999</v>
      </c>
      <c r="S169" s="397">
        <f t="shared" si="217"/>
        <v>157845.60000000149</v>
      </c>
      <c r="T169" s="397">
        <f t="shared" si="218"/>
        <v>0</v>
      </c>
      <c r="U169" s="402">
        <f t="shared" si="196"/>
        <v>0</v>
      </c>
      <c r="V169" s="397">
        <f t="shared" si="219"/>
        <v>0</v>
      </c>
      <c r="W169" s="407">
        <f t="shared" si="220"/>
        <v>157845.60000000149</v>
      </c>
      <c r="Y169" s="359"/>
      <c r="AA169" s="359"/>
      <c r="AB169" s="360"/>
      <c r="AC169" s="360"/>
      <c r="AD169" s="360"/>
      <c r="AE169" s="360"/>
      <c r="AG169" s="359"/>
    </row>
    <row r="170" spans="2:33" s="7" customFormat="1" ht="12" customHeight="1" outlineLevel="1" x14ac:dyDescent="0.25">
      <c r="B170" s="351" t="s">
        <v>125</v>
      </c>
      <c r="C170" s="390">
        <v>105987</v>
      </c>
      <c r="D170" s="477">
        <v>93</v>
      </c>
      <c r="E170" s="391">
        <v>15803000</v>
      </c>
      <c r="F170" s="387">
        <f t="shared" si="209"/>
        <v>0.10479022970322083</v>
      </c>
      <c r="G170" s="391">
        <v>17459000</v>
      </c>
      <c r="H170" s="321">
        <v>0.04</v>
      </c>
      <c r="I170" s="335">
        <f t="shared" si="210"/>
        <v>18157360</v>
      </c>
      <c r="J170" s="321">
        <v>0.06</v>
      </c>
      <c r="K170" s="335">
        <f t="shared" si="211"/>
        <v>18506540</v>
      </c>
      <c r="L170" s="398">
        <v>4</v>
      </c>
      <c r="M170" s="404">
        <f t="shared" si="212"/>
        <v>69836000</v>
      </c>
      <c r="N170" s="398">
        <v>5</v>
      </c>
      <c r="O170" s="269">
        <f t="shared" si="213"/>
        <v>87295000</v>
      </c>
      <c r="P170" s="397">
        <f t="shared" si="214"/>
        <v>157131000</v>
      </c>
      <c r="Q170" s="397">
        <f t="shared" si="215"/>
        <v>63212000.000000007</v>
      </c>
      <c r="R170" s="397">
        <f t="shared" si="216"/>
        <v>69836617.600000009</v>
      </c>
      <c r="S170" s="397">
        <f t="shared" si="217"/>
        <v>-617.6000000089407</v>
      </c>
      <c r="T170" s="397">
        <f t="shared" si="218"/>
        <v>79015000</v>
      </c>
      <c r="U170" s="269">
        <f t="shared" si="196"/>
        <v>87295772</v>
      </c>
      <c r="V170" s="407">
        <f t="shared" si="219"/>
        <v>-772</v>
      </c>
      <c r="W170" s="407">
        <f t="shared" si="220"/>
        <v>-1389.6000000089407</v>
      </c>
      <c r="Y170" s="359"/>
      <c r="AA170" s="359"/>
      <c r="AB170" s="360"/>
      <c r="AC170" s="360"/>
      <c r="AD170" s="360"/>
      <c r="AE170" s="360"/>
      <c r="AG170" s="359"/>
    </row>
    <row r="171" spans="2:33" s="276" customFormat="1" ht="12" customHeight="1" outlineLevel="1" x14ac:dyDescent="0.3">
      <c r="B171" s="312" t="s">
        <v>273</v>
      </c>
      <c r="C171" s="315"/>
      <c r="D171" s="316"/>
      <c r="E171" s="311"/>
      <c r="F171" s="321"/>
      <c r="G171" s="311"/>
      <c r="H171" s="301"/>
      <c r="I171" s="301"/>
      <c r="J171" s="301"/>
      <c r="K171" s="301"/>
      <c r="L171" s="301"/>
      <c r="M171" s="318"/>
      <c r="N171" s="301"/>
      <c r="O171" s="318"/>
      <c r="P171" s="318"/>
      <c r="Q171" s="318"/>
      <c r="R171" s="318"/>
      <c r="S171" s="318"/>
      <c r="T171" s="318"/>
      <c r="U171" s="318"/>
      <c r="V171" s="318"/>
      <c r="W171" s="318"/>
      <c r="Y171" s="277"/>
      <c r="AA171" s="277"/>
      <c r="AB171" s="278"/>
      <c r="AC171" s="278"/>
      <c r="AD171" s="278"/>
      <c r="AE171" s="278"/>
      <c r="AG171" s="277"/>
    </row>
    <row r="172" spans="2:33" s="276" customFormat="1" ht="12" customHeight="1" outlineLevel="1" x14ac:dyDescent="0.25">
      <c r="B172" s="325" t="s">
        <v>387</v>
      </c>
      <c r="C172" s="128">
        <v>108748</v>
      </c>
      <c r="D172" s="476">
        <v>23</v>
      </c>
      <c r="E172" s="305">
        <v>7121000</v>
      </c>
      <c r="F172" s="387">
        <f t="shared" ref="F172:F175" si="221">(G172/E172)-1</f>
        <v>0.11473107709591357</v>
      </c>
      <c r="G172" s="305">
        <v>7938000</v>
      </c>
      <c r="H172" s="321">
        <v>0.04</v>
      </c>
      <c r="I172" s="335">
        <f t="shared" ref="I172:I174" si="222">+(G172*H172)+G172</f>
        <v>8255520</v>
      </c>
      <c r="J172" s="321">
        <v>0.06</v>
      </c>
      <c r="K172" s="335">
        <f t="shared" ref="K172:K174" si="223">+(G172*J172)+G172</f>
        <v>8414280</v>
      </c>
      <c r="L172" s="398">
        <v>0</v>
      </c>
      <c r="M172" s="404">
        <f>+L172*G172</f>
        <v>0</v>
      </c>
      <c r="N172" s="398">
        <v>20</v>
      </c>
      <c r="O172" s="402">
        <f>+N172*G172</f>
        <v>158760000</v>
      </c>
      <c r="P172" s="397">
        <f>+M172+O172</f>
        <v>158760000</v>
      </c>
      <c r="Q172" s="397">
        <f>M172/(1+F172)</f>
        <v>0</v>
      </c>
      <c r="R172" s="397">
        <f>($Q172*$R$10)+$Q172</f>
        <v>0</v>
      </c>
      <c r="S172" s="397">
        <f t="shared" ref="S172:S175" si="224">M172-R172</f>
        <v>0</v>
      </c>
      <c r="T172" s="397">
        <f>O172/(1+F172)</f>
        <v>142420000</v>
      </c>
      <c r="U172" s="402">
        <f t="shared" si="196"/>
        <v>157345616</v>
      </c>
      <c r="V172" s="397">
        <f t="shared" ref="V172:V175" si="225">O172-U172</f>
        <v>1414384</v>
      </c>
      <c r="W172" s="407">
        <f>S172+V172</f>
        <v>1414384</v>
      </c>
      <c r="Y172" s="277"/>
      <c r="AA172" s="277"/>
      <c r="AB172" s="278"/>
      <c r="AC172" s="278"/>
      <c r="AD172" s="278"/>
      <c r="AE172" s="278"/>
      <c r="AG172" s="277"/>
    </row>
    <row r="173" spans="2:33" s="276" customFormat="1" ht="12" customHeight="1" outlineLevel="1" x14ac:dyDescent="0.25">
      <c r="B173" s="325" t="s">
        <v>258</v>
      </c>
      <c r="C173" s="128">
        <v>108748</v>
      </c>
      <c r="D173" s="477">
        <v>23</v>
      </c>
      <c r="E173" s="305">
        <v>7121000</v>
      </c>
      <c r="F173" s="387">
        <f t="shared" si="221"/>
        <v>0.10476056733604833</v>
      </c>
      <c r="G173" s="305">
        <v>7867000</v>
      </c>
      <c r="H173" s="321">
        <v>0.04</v>
      </c>
      <c r="I173" s="335">
        <f t="shared" ref="I173" si="226">+(G173*H173)+G173</f>
        <v>8181680</v>
      </c>
      <c r="J173" s="321">
        <v>0.06</v>
      </c>
      <c r="K173" s="335">
        <f t="shared" ref="K173" si="227">+(G173*J173)+G173</f>
        <v>8339020</v>
      </c>
      <c r="L173" s="398">
        <v>14</v>
      </c>
      <c r="M173" s="404">
        <f>+L173*G173</f>
        <v>110138000</v>
      </c>
      <c r="N173" s="398">
        <v>0</v>
      </c>
      <c r="O173" s="269">
        <f>+N173*G173</f>
        <v>0</v>
      </c>
      <c r="P173" s="397">
        <f>+M173+O173</f>
        <v>110138000</v>
      </c>
      <c r="Q173" s="397">
        <f>M173/(1+F173)</f>
        <v>99694000</v>
      </c>
      <c r="R173" s="397">
        <f>($Q173*$R$10)+$Q173</f>
        <v>110141931.2</v>
      </c>
      <c r="S173" s="397">
        <f t="shared" si="224"/>
        <v>-3931.2000000029802</v>
      </c>
      <c r="T173" s="397">
        <f>O173/(1+F173)</f>
        <v>0</v>
      </c>
      <c r="U173" s="269">
        <f t="shared" si="196"/>
        <v>0</v>
      </c>
      <c r="V173" s="407">
        <f t="shared" si="225"/>
        <v>0</v>
      </c>
      <c r="W173" s="407">
        <f>S173+V173</f>
        <v>-3931.2000000029802</v>
      </c>
      <c r="Y173" s="277"/>
      <c r="AA173" s="277"/>
      <c r="AB173" s="278"/>
      <c r="AC173" s="278"/>
      <c r="AD173" s="278"/>
      <c r="AE173" s="278"/>
      <c r="AG173" s="277"/>
    </row>
    <row r="174" spans="2:33" s="276" customFormat="1" ht="12" customHeight="1" outlineLevel="1" x14ac:dyDescent="0.25">
      <c r="B174" s="325" t="s">
        <v>388</v>
      </c>
      <c r="C174" s="128">
        <v>108666</v>
      </c>
      <c r="D174" s="476">
        <v>39</v>
      </c>
      <c r="E174" s="305">
        <v>11434000</v>
      </c>
      <c r="F174" s="387">
        <f t="shared" si="221"/>
        <v>0.11474549588945249</v>
      </c>
      <c r="G174" s="305">
        <v>12746000</v>
      </c>
      <c r="H174" s="321">
        <v>0.04</v>
      </c>
      <c r="I174" s="292">
        <f t="shared" si="222"/>
        <v>13255840</v>
      </c>
      <c r="J174" s="321">
        <v>0.06</v>
      </c>
      <c r="K174" s="292">
        <f t="shared" si="223"/>
        <v>13510760</v>
      </c>
      <c r="L174" s="398">
        <v>0</v>
      </c>
      <c r="M174" s="404">
        <f>+L174*G174</f>
        <v>0</v>
      </c>
      <c r="N174" s="398">
        <v>12</v>
      </c>
      <c r="O174" s="402">
        <f>+N174*G174</f>
        <v>152952000</v>
      </c>
      <c r="P174" s="397">
        <f>+M174+O174</f>
        <v>152952000</v>
      </c>
      <c r="Q174" s="397">
        <f>M174/(1+F174)</f>
        <v>0</v>
      </c>
      <c r="R174" s="397">
        <f>($Q174*$R$10)+$Q174</f>
        <v>0</v>
      </c>
      <c r="S174" s="397">
        <f t="shared" si="224"/>
        <v>0</v>
      </c>
      <c r="T174" s="397">
        <f>O174/(1+F174)</f>
        <v>137208000</v>
      </c>
      <c r="U174" s="402">
        <f t="shared" si="196"/>
        <v>151587398.40000001</v>
      </c>
      <c r="V174" s="397">
        <f t="shared" si="225"/>
        <v>1364601.599999994</v>
      </c>
      <c r="W174" s="407">
        <f>S174+V174</f>
        <v>1364601.599999994</v>
      </c>
      <c r="Y174" s="277"/>
      <c r="AA174" s="277"/>
      <c r="AB174" s="278"/>
      <c r="AC174" s="278"/>
      <c r="AD174" s="278"/>
      <c r="AE174" s="278"/>
      <c r="AG174" s="277"/>
    </row>
    <row r="175" spans="2:33" s="276" customFormat="1" ht="12" customHeight="1" outlineLevel="1" x14ac:dyDescent="0.25">
      <c r="B175" s="325" t="s">
        <v>261</v>
      </c>
      <c r="C175" s="128">
        <v>108666</v>
      </c>
      <c r="D175" s="477">
        <v>39</v>
      </c>
      <c r="E175" s="305">
        <v>11434000</v>
      </c>
      <c r="F175" s="387">
        <f t="shared" si="221"/>
        <v>0.10477523176491177</v>
      </c>
      <c r="G175" s="305">
        <v>12632000</v>
      </c>
      <c r="H175" s="321">
        <v>0.04</v>
      </c>
      <c r="I175" s="292">
        <f t="shared" ref="I175" si="228">+(G175*H175)+G175</f>
        <v>13137280</v>
      </c>
      <c r="J175" s="321">
        <v>0.06</v>
      </c>
      <c r="K175" s="292">
        <f t="shared" ref="K175" si="229">+(G175*J175)+G175</f>
        <v>13389920</v>
      </c>
      <c r="L175" s="398">
        <v>6</v>
      </c>
      <c r="M175" s="404">
        <f>+L175*G175</f>
        <v>75792000</v>
      </c>
      <c r="N175" s="398">
        <v>6</v>
      </c>
      <c r="O175" s="269">
        <f>+N175*G175</f>
        <v>75792000</v>
      </c>
      <c r="P175" s="397">
        <f>+M175+O175</f>
        <v>151584000</v>
      </c>
      <c r="Q175" s="397">
        <f>M175/(1+F175)</f>
        <v>68604000</v>
      </c>
      <c r="R175" s="397">
        <f>($Q175*$R$10)+$Q175</f>
        <v>75793699.200000003</v>
      </c>
      <c r="S175" s="397">
        <f t="shared" si="224"/>
        <v>-1699.2000000029802</v>
      </c>
      <c r="T175" s="397">
        <f>O175/(1+F175)</f>
        <v>68604000</v>
      </c>
      <c r="U175" s="269">
        <f t="shared" si="196"/>
        <v>75793699.200000003</v>
      </c>
      <c r="V175" s="407">
        <f t="shared" si="225"/>
        <v>-1699.2000000029802</v>
      </c>
      <c r="W175" s="407">
        <f>S175+V175</f>
        <v>-3398.4000000059605</v>
      </c>
      <c r="Y175" s="277"/>
      <c r="AA175" s="277"/>
      <c r="AB175" s="278"/>
      <c r="AC175" s="278"/>
      <c r="AD175" s="278"/>
      <c r="AE175" s="278"/>
      <c r="AG175" s="277"/>
    </row>
    <row r="176" spans="2:33" s="276" customFormat="1" ht="12" customHeight="1" outlineLevel="1" x14ac:dyDescent="0.25">
      <c r="B176" s="312" t="s">
        <v>246</v>
      </c>
      <c r="C176" s="128"/>
      <c r="D176" s="129"/>
      <c r="E176" s="317"/>
      <c r="F176" s="387"/>
      <c r="G176" s="317"/>
      <c r="H176" s="321"/>
      <c r="I176" s="292"/>
      <c r="J176" s="321"/>
      <c r="K176" s="292"/>
      <c r="L176" s="293"/>
      <c r="M176" s="305"/>
      <c r="N176" s="293"/>
      <c r="O176" s="305"/>
      <c r="P176" s="269"/>
      <c r="Q176" s="269"/>
      <c r="R176" s="269"/>
      <c r="S176" s="269"/>
      <c r="T176" s="269"/>
      <c r="U176" s="269"/>
      <c r="V176" s="269"/>
      <c r="W176" s="269"/>
      <c r="Y176" s="277"/>
      <c r="AA176" s="277"/>
      <c r="AB176" s="278"/>
      <c r="AC176" s="278"/>
      <c r="AD176" s="278"/>
      <c r="AE176" s="278"/>
      <c r="AG176" s="277"/>
    </row>
    <row r="177" spans="2:33" s="276" customFormat="1" ht="12" customHeight="1" outlineLevel="1" thickBot="1" x14ac:dyDescent="0.3">
      <c r="B177" s="395" t="s">
        <v>386</v>
      </c>
      <c r="C177" s="290"/>
      <c r="D177" s="293"/>
      <c r="E177" s="386">
        <v>0</v>
      </c>
      <c r="F177" s="403">
        <v>0</v>
      </c>
      <c r="G177" s="386">
        <v>11600000</v>
      </c>
      <c r="H177" s="321">
        <v>0.04</v>
      </c>
      <c r="I177" s="292">
        <f t="shared" ref="I177" si="230">+(G177*H177)+G177</f>
        <v>12064000</v>
      </c>
      <c r="J177" s="321">
        <v>0.06</v>
      </c>
      <c r="K177" s="292">
        <f t="shared" ref="K177" si="231">+(G177*J177)+G177</f>
        <v>12296000</v>
      </c>
      <c r="L177" s="293">
        <v>16</v>
      </c>
      <c r="M177" s="305">
        <f>+L177*G177</f>
        <v>185600000</v>
      </c>
      <c r="N177" s="293">
        <v>16</v>
      </c>
      <c r="O177" s="305">
        <f>+N177*G177</f>
        <v>185600000</v>
      </c>
      <c r="P177" s="269">
        <f>+M177+O177</f>
        <v>371200000</v>
      </c>
      <c r="Q177" s="269">
        <f>M177/(1+F177)</f>
        <v>185600000</v>
      </c>
      <c r="R177" s="269">
        <f>($Q177*$R$10)+$Q177</f>
        <v>205050880</v>
      </c>
      <c r="S177" s="269">
        <f>M177-R177</f>
        <v>-19450880</v>
      </c>
      <c r="T177" s="269">
        <f t="shared" ref="T177" si="232">O177/(1+F177)</f>
        <v>185600000</v>
      </c>
      <c r="U177" s="269">
        <f t="shared" ref="U177" si="233">($T177*$U$10)+$T177</f>
        <v>205050880</v>
      </c>
      <c r="V177" s="269">
        <f t="shared" ref="V177" si="234">O177-U177</f>
        <v>-19450880</v>
      </c>
      <c r="W177" s="269">
        <f t="shared" ref="W177" si="235">S177+V177</f>
        <v>-38901760</v>
      </c>
      <c r="Y177" s="277"/>
      <c r="AA177" s="277"/>
      <c r="AB177" s="278"/>
      <c r="AC177" s="278"/>
      <c r="AD177" s="278"/>
      <c r="AE177" s="278"/>
      <c r="AG177" s="277"/>
    </row>
    <row r="178" spans="2:33" s="141" customFormat="1" ht="21" customHeight="1" x14ac:dyDescent="0.5">
      <c r="B178" s="379" t="s">
        <v>121</v>
      </c>
      <c r="C178" s="380"/>
      <c r="D178" s="381"/>
      <c r="E178" s="161">
        <f>SUM(E77:E177)</f>
        <v>1239464000</v>
      </c>
      <c r="F178" s="394" t="s">
        <v>118</v>
      </c>
      <c r="G178" s="161">
        <f>SUM(G77:K177)</f>
        <v>4300050309.4999924</v>
      </c>
      <c r="H178" s="380"/>
      <c r="I178" s="161">
        <f>SUM(I77:I177)</f>
        <v>1442597520</v>
      </c>
      <c r="J178" s="380"/>
      <c r="K178" s="161">
        <f t="shared" ref="K178:W178" si="236">SUM(K77:K177)</f>
        <v>1470339780</v>
      </c>
      <c r="L178" s="374">
        <f t="shared" si="236"/>
        <v>1553</v>
      </c>
      <c r="M178" s="377">
        <f t="shared" si="236"/>
        <v>20861084000</v>
      </c>
      <c r="N178" s="374">
        <f t="shared" si="236"/>
        <v>1571</v>
      </c>
      <c r="O178" s="377">
        <f t="shared" si="236"/>
        <v>20980787000</v>
      </c>
      <c r="P178" s="377">
        <f t="shared" si="236"/>
        <v>41841871000</v>
      </c>
      <c r="Q178" s="377">
        <f t="shared" si="236"/>
        <v>18842212000</v>
      </c>
      <c r="R178" s="377">
        <f t="shared" si="236"/>
        <v>20816875817.599995</v>
      </c>
      <c r="S178" s="377">
        <f t="shared" si="236"/>
        <v>44208182.400000595</v>
      </c>
      <c r="T178" s="377">
        <f t="shared" si="236"/>
        <v>18946494000</v>
      </c>
      <c r="U178" s="377">
        <f t="shared" si="236"/>
        <v>20932086571.200001</v>
      </c>
      <c r="V178" s="377">
        <f t="shared" si="236"/>
        <v>48700428.80000031</v>
      </c>
      <c r="W178" s="377">
        <f t="shared" si="236"/>
        <v>92908611.200000912</v>
      </c>
      <c r="AB178" s="281"/>
      <c r="AD178" s="281"/>
      <c r="AE178" s="281"/>
      <c r="AG178" s="280"/>
    </row>
    <row r="179" spans="2:33" s="141" customFormat="1" ht="22.5" customHeight="1" thickBot="1" x14ac:dyDescent="0.4">
      <c r="B179" s="96" t="s">
        <v>134</v>
      </c>
      <c r="C179" s="177"/>
      <c r="D179" s="112"/>
      <c r="E179" s="86"/>
      <c r="F179" s="87"/>
      <c r="G179" s="272">
        <f>+SUMPRODUCT(G77:G177,F77:F177)/G178</f>
        <v>3.5118956221074991E-2</v>
      </c>
      <c r="H179" s="89"/>
      <c r="I179" s="89"/>
      <c r="J179" s="89"/>
      <c r="K179" s="89"/>
      <c r="L179" s="331"/>
      <c r="M179" s="332"/>
      <c r="N179" s="375"/>
      <c r="O179" s="333"/>
      <c r="P179" s="322"/>
      <c r="Q179" s="308"/>
      <c r="R179" s="308"/>
      <c r="S179" s="308"/>
      <c r="T179" s="308"/>
      <c r="U179" s="308"/>
      <c r="V179" s="308"/>
      <c r="W179" s="308"/>
      <c r="AB179" s="281"/>
      <c r="AD179" s="281"/>
      <c r="AE179" s="281"/>
      <c r="AG179" s="280"/>
    </row>
    <row r="180" spans="2:33" s="141" customFormat="1" ht="23.25" customHeight="1" x14ac:dyDescent="0.5">
      <c r="B180" s="79" t="s">
        <v>122</v>
      </c>
      <c r="C180" s="82"/>
      <c r="D180" s="110"/>
      <c r="E180" s="97"/>
      <c r="F180" s="97"/>
      <c r="G180" s="98"/>
      <c r="H180" s="99"/>
      <c r="I180" s="98"/>
      <c r="J180" s="98"/>
      <c r="K180" s="98"/>
      <c r="L180" s="374">
        <f>+L178+L73</f>
        <v>8279</v>
      </c>
      <c r="M180" s="377">
        <f>M178+M73</f>
        <v>104992017000</v>
      </c>
      <c r="N180" s="374">
        <f>+N178+N73</f>
        <v>8358</v>
      </c>
      <c r="O180" s="377">
        <f t="shared" ref="O180:W180" si="237">O178+O73</f>
        <v>105637600000</v>
      </c>
      <c r="P180" s="377">
        <f t="shared" si="237"/>
        <v>210629617000</v>
      </c>
      <c r="Q180" s="377">
        <f t="shared" si="237"/>
        <v>94910618648.009384</v>
      </c>
      <c r="R180" s="377">
        <f t="shared" si="237"/>
        <v>104857251482.32077</v>
      </c>
      <c r="S180" s="377">
        <f t="shared" si="237"/>
        <v>134765517.67922696</v>
      </c>
      <c r="T180" s="377">
        <f t="shared" si="237"/>
        <v>95485710392.469223</v>
      </c>
      <c r="U180" s="377">
        <f t="shared" si="237"/>
        <v>105492612841.60002</v>
      </c>
      <c r="V180" s="377">
        <f t="shared" si="237"/>
        <v>144987158.40000427</v>
      </c>
      <c r="W180" s="377">
        <f t="shared" si="237"/>
        <v>279752676.07923126</v>
      </c>
      <c r="AB180" s="281"/>
      <c r="AD180" s="281"/>
      <c r="AE180" s="281"/>
      <c r="AG180" s="280"/>
    </row>
    <row r="181" spans="2:33" s="141" customFormat="1" ht="21.5" thickBot="1" x14ac:dyDescent="0.55000000000000004">
      <c r="B181" s="85" t="s">
        <v>123</v>
      </c>
      <c r="C181" s="89"/>
      <c r="D181" s="111"/>
      <c r="E181" s="100"/>
      <c r="F181" s="100"/>
      <c r="G181" s="382">
        <f>((+SUMPRODUCT(G13:G72,F13:F72))+(SUMPRODUCT(G77:G177,F77:F177)))/(G73+G178)</f>
        <v>4.4545559555792591E-2</v>
      </c>
      <c r="H181" s="102"/>
      <c r="I181" s="101"/>
      <c r="J181" s="101"/>
      <c r="K181" s="101"/>
      <c r="L181" s="103"/>
      <c r="M181" s="104"/>
      <c r="N181" s="103"/>
      <c r="O181" s="284"/>
      <c r="P181" s="88"/>
      <c r="Q181" s="106"/>
      <c r="R181" s="107"/>
      <c r="S181" s="107"/>
      <c r="T181" s="107"/>
      <c r="U181" s="107"/>
      <c r="V181" s="107"/>
      <c r="W181" s="108"/>
      <c r="AB181" s="281"/>
      <c r="AD181" s="281"/>
      <c r="AE181" s="281"/>
      <c r="AG181" s="280"/>
    </row>
    <row r="182" spans="2:33" s="141" customFormat="1" ht="10.5" x14ac:dyDescent="0.25">
      <c r="D182" s="285"/>
      <c r="G182" s="157"/>
      <c r="AG182" s="280"/>
    </row>
    <row r="183" spans="2:33" s="141" customFormat="1" ht="12" x14ac:dyDescent="0.3">
      <c r="B183" s="286" t="s">
        <v>161</v>
      </c>
      <c r="C183" s="286"/>
      <c r="D183" s="285"/>
      <c r="Q183" s="281"/>
      <c r="AG183" s="280"/>
    </row>
    <row r="184" spans="2:33" s="141" customFormat="1" ht="12" x14ac:dyDescent="0.3">
      <c r="B184" s="171" t="s">
        <v>244</v>
      </c>
      <c r="C184" s="171"/>
      <c r="D184" s="285"/>
      <c r="E184" s="287"/>
      <c r="F184" s="288"/>
      <c r="O184" s="281"/>
      <c r="P184" s="281"/>
      <c r="Q184" s="281"/>
      <c r="R184" s="281"/>
      <c r="S184" s="281"/>
      <c r="T184" s="281"/>
      <c r="U184" s="281"/>
      <c r="V184" s="281"/>
      <c r="W184" s="281"/>
    </row>
    <row r="185" spans="2:33" s="141" customFormat="1" ht="10.5" x14ac:dyDescent="0.25">
      <c r="D185" s="285"/>
      <c r="E185" s="287"/>
      <c r="S185" s="281"/>
    </row>
    <row r="186" spans="2:33" s="141" customFormat="1" ht="10.5" x14ac:dyDescent="0.25">
      <c r="D186" s="285"/>
      <c r="E186" s="287"/>
    </row>
    <row r="187" spans="2:33" s="141" customFormat="1" ht="10.5" x14ac:dyDescent="0.25">
      <c r="D187" s="285"/>
      <c r="E187" s="287"/>
      <c r="M187" s="281"/>
      <c r="P187" s="384"/>
      <c r="Q187" s="385"/>
      <c r="R187" s="385"/>
      <c r="S187" s="385"/>
      <c r="T187" s="384"/>
      <c r="U187" s="384"/>
      <c r="V187" s="384"/>
      <c r="W187" s="384"/>
    </row>
    <row r="188" spans="2:33" s="141" customFormat="1" ht="10.5" x14ac:dyDescent="0.25">
      <c r="D188" s="285"/>
      <c r="E188" s="287"/>
    </row>
    <row r="189" spans="2:33" s="141" customFormat="1" ht="10.5" x14ac:dyDescent="0.25">
      <c r="D189" s="285"/>
      <c r="E189" s="287"/>
    </row>
    <row r="190" spans="2:33" s="141" customFormat="1" ht="10.5" x14ac:dyDescent="0.25">
      <c r="D190" s="285"/>
      <c r="E190" s="287"/>
    </row>
    <row r="191" spans="2:33" s="141" customFormat="1" ht="10.5" x14ac:dyDescent="0.25">
      <c r="D191" s="285"/>
      <c r="E191" s="287"/>
    </row>
    <row r="192" spans="2:33" s="141" customFormat="1" ht="10.5" x14ac:dyDescent="0.25">
      <c r="D192" s="285"/>
      <c r="E192" s="287"/>
    </row>
    <row r="193" spans="1:33" ht="10.5" x14ac:dyDescent="0.25">
      <c r="A193" s="141"/>
      <c r="B193" s="141"/>
      <c r="C193" s="141"/>
      <c r="D193" s="285"/>
      <c r="E193" s="287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</row>
  </sheetData>
  <sheetProtection algorithmName="SHA-512" hashValue="eY9lWDStrZbkZBy1g7IDXKcD4iVPEY9JnYfwYwB3ZDDDLEhmsi3KrRr8og8lp79YTIKoRfnyD8qRqqFSvdsk3A==" saltValue="dIFK+XTA9hQNX32524GLqA==" spinCount="100000" sheet="1" formatCells="0" formatColumns="0" formatRows="0" insertColumns="0" insertRows="0" insertHyperlinks="0" deleteColumns="0" deleteRows="0" sort="0" autoFilter="0" pivotTables="0"/>
  <mergeCells count="78">
    <mergeCell ref="D112:D113"/>
    <mergeCell ref="D114:D115"/>
    <mergeCell ref="D100:D101"/>
    <mergeCell ref="D102:D103"/>
    <mergeCell ref="D104:D105"/>
    <mergeCell ref="D106:D107"/>
    <mergeCell ref="D108:D109"/>
    <mergeCell ref="C71:C72"/>
    <mergeCell ref="C110:C111"/>
    <mergeCell ref="D110:D111"/>
    <mergeCell ref="D67:D68"/>
    <mergeCell ref="D51:D52"/>
    <mergeCell ref="D53:D54"/>
    <mergeCell ref="D55:D56"/>
    <mergeCell ref="D58:D59"/>
    <mergeCell ref="D60:D61"/>
    <mergeCell ref="D64:D65"/>
    <mergeCell ref="D69:D70"/>
    <mergeCell ref="D77:D78"/>
    <mergeCell ref="D71:D72"/>
    <mergeCell ref="D79:D80"/>
    <mergeCell ref="D81:D82"/>
    <mergeCell ref="D83:D84"/>
    <mergeCell ref="B3:W3"/>
    <mergeCell ref="B4:W4"/>
    <mergeCell ref="D23:D24"/>
    <mergeCell ref="D42:D43"/>
    <mergeCell ref="D44:D45"/>
    <mergeCell ref="D38:D39"/>
    <mergeCell ref="D40:D41"/>
    <mergeCell ref="D13:D14"/>
    <mergeCell ref="D15:D16"/>
    <mergeCell ref="D17:D18"/>
    <mergeCell ref="D19:D20"/>
    <mergeCell ref="D21:D22"/>
    <mergeCell ref="D27:D28"/>
    <mergeCell ref="D25:D26"/>
    <mergeCell ref="D32:D33"/>
    <mergeCell ref="D34:D35"/>
    <mergeCell ref="D36:D37"/>
    <mergeCell ref="D153:D154"/>
    <mergeCell ref="D147:D148"/>
    <mergeCell ref="D149:D150"/>
    <mergeCell ref="D151:D152"/>
    <mergeCell ref="D62:D63"/>
    <mergeCell ref="D49:D50"/>
    <mergeCell ref="D47:D48"/>
    <mergeCell ref="D85:D86"/>
    <mergeCell ref="D87:D88"/>
    <mergeCell ref="D89:D90"/>
    <mergeCell ref="D91:D92"/>
    <mergeCell ref="D93:D94"/>
    <mergeCell ref="D95:D96"/>
    <mergeCell ref="D116:D117"/>
    <mergeCell ref="D98:D99"/>
    <mergeCell ref="D155:D156"/>
    <mergeCell ref="D157:D158"/>
    <mergeCell ref="D159:D160"/>
    <mergeCell ref="D120:D121"/>
    <mergeCell ref="D122:D123"/>
    <mergeCell ref="D124:D125"/>
    <mergeCell ref="D126:D127"/>
    <mergeCell ref="D128:D129"/>
    <mergeCell ref="D130:D131"/>
    <mergeCell ref="D132:D133"/>
    <mergeCell ref="D136:D137"/>
    <mergeCell ref="D138:D139"/>
    <mergeCell ref="D140:D141"/>
    <mergeCell ref="D134:D135"/>
    <mergeCell ref="D143:D144"/>
    <mergeCell ref="D145:D146"/>
    <mergeCell ref="D172:D173"/>
    <mergeCell ref="D174:D175"/>
    <mergeCell ref="D161:D162"/>
    <mergeCell ref="D163:D164"/>
    <mergeCell ref="D165:D166"/>
    <mergeCell ref="D167:D168"/>
    <mergeCell ref="D169:D170"/>
  </mergeCells>
  <hyperlinks>
    <hyperlink ref="B1" location="Contenido!B21" display="Volver al menú" xr:uid="{00000000-0004-0000-04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AG127"/>
  <sheetViews>
    <sheetView showGridLines="0" topLeftCell="B1" zoomScaleNormal="100" workbookViewId="0">
      <pane xSplit="4" ySplit="11" topLeftCell="F92" activePane="bottomRight" state="frozen"/>
      <selection activeCell="B1" sqref="B1"/>
      <selection pane="topRight" activeCell="F1" sqref="F1"/>
      <selection pane="bottomLeft" activeCell="B12" sqref="B12"/>
      <selection pane="bottomRight" activeCell="G98" sqref="G98:G110"/>
    </sheetView>
  </sheetViews>
  <sheetFormatPr baseColWidth="10" defaultColWidth="11.453125" defaultRowHeight="10" x14ac:dyDescent="0.2"/>
  <cols>
    <col min="1" max="1" width="2.7265625" style="65" customWidth="1"/>
    <col min="2" max="2" width="61.54296875" style="65" customWidth="1"/>
    <col min="3" max="3" width="11.26953125" style="65" bestFit="1" customWidth="1"/>
    <col min="4" max="4" width="7.453125" style="116" hidden="1" customWidth="1"/>
    <col min="5" max="5" width="15.7265625" style="65" customWidth="1"/>
    <col min="6" max="6" width="8" style="65" customWidth="1"/>
    <col min="7" max="7" width="18" style="65" bestFit="1" customWidth="1"/>
    <col min="8" max="8" width="10.1796875" style="65" hidden="1" customWidth="1"/>
    <col min="9" max="9" width="15.1796875" style="65" hidden="1" customWidth="1"/>
    <col min="10" max="10" width="10.1796875" style="65" hidden="1" customWidth="1"/>
    <col min="11" max="11" width="15.1796875" style="65" hidden="1" customWidth="1"/>
    <col min="12" max="12" width="13.26953125" style="65" hidden="1" customWidth="1"/>
    <col min="13" max="13" width="20" style="65" customWidth="1"/>
    <col min="14" max="14" width="11.453125" style="65" hidden="1" customWidth="1"/>
    <col min="15" max="15" width="16.26953125" style="65" customWidth="1"/>
    <col min="16" max="17" width="15.54296875" style="65" customWidth="1"/>
    <col min="18" max="18" width="19.54296875" style="65" customWidth="1"/>
    <col min="19" max="19" width="17" style="65" hidden="1" customWidth="1"/>
    <col min="20" max="20" width="18.26953125" style="65" hidden="1" customWidth="1"/>
    <col min="21" max="22" width="17.54296875" style="65" customWidth="1"/>
    <col min="23" max="23" width="16.54296875" style="65" customWidth="1"/>
    <col min="24" max="24" width="19.1796875" style="65" customWidth="1"/>
    <col min="25" max="25" width="20" style="65" customWidth="1"/>
    <col min="26" max="27" width="18.54296875" style="65" customWidth="1"/>
    <col min="28" max="32" width="11.453125" style="65"/>
    <col min="33" max="33" width="13.26953125" style="65" bestFit="1" customWidth="1"/>
    <col min="34" max="16384" width="11.453125" style="65"/>
  </cols>
  <sheetData>
    <row r="1" spans="2:33" ht="12" customHeight="1" x14ac:dyDescent="0.35">
      <c r="B1" s="56" t="s">
        <v>83</v>
      </c>
      <c r="C1" s="56"/>
      <c r="D1" s="113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2:33" ht="26" x14ac:dyDescent="0.6">
      <c r="B3" s="471" t="s">
        <v>82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</row>
    <row r="4" spans="2:33" ht="18.5" x14ac:dyDescent="0.45">
      <c r="B4" s="472" t="s">
        <v>240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</row>
    <row r="5" spans="2:33" ht="11.5" x14ac:dyDescent="0.25">
      <c r="B5" s="4"/>
      <c r="C5" s="4"/>
      <c r="D5" s="11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33" ht="11.5" x14ac:dyDescent="0.25">
      <c r="B6" s="4"/>
      <c r="C6" s="4"/>
      <c r="D6" s="114"/>
      <c r="E6" s="4"/>
      <c r="F6" s="4"/>
      <c r="G6" s="4"/>
      <c r="H6" s="4"/>
      <c r="I6" s="4"/>
      <c r="J6" s="4"/>
      <c r="K6" s="4"/>
      <c r="L6" s="4"/>
      <c r="M6" s="243">
        <f t="shared" ref="M6:O6" si="0">+M28+M34</f>
        <v>6104247200</v>
      </c>
      <c r="N6" s="243">
        <f t="shared" si="0"/>
        <v>972</v>
      </c>
      <c r="O6" s="243">
        <f t="shared" si="0"/>
        <v>6222620400</v>
      </c>
      <c r="P6" s="4"/>
      <c r="Q6" s="4"/>
      <c r="R6" s="243">
        <f>+R28+R34</f>
        <v>6019979343.6736774</v>
      </c>
      <c r="S6" s="4"/>
      <c r="T6" s="4"/>
      <c r="U6" s="243">
        <f>+U28+U34</f>
        <v>6136719818.667964</v>
      </c>
      <c r="V6" s="4"/>
      <c r="W6" s="4"/>
    </row>
    <row r="7" spans="2:33" ht="11.5" x14ac:dyDescent="0.25">
      <c r="B7" s="4"/>
      <c r="C7" s="4"/>
      <c r="D7" s="1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33" ht="30" customHeight="1" thickBot="1" x14ac:dyDescent="0.3">
      <c r="B8" s="4"/>
      <c r="C8" s="4"/>
      <c r="D8" s="114"/>
      <c r="E8" s="4"/>
      <c r="F8" s="4"/>
      <c r="G8" s="117"/>
      <c r="H8" s="4"/>
      <c r="I8" s="4"/>
      <c r="J8" s="4"/>
      <c r="K8" s="4"/>
      <c r="L8" s="4"/>
      <c r="M8" s="150"/>
      <c r="N8" s="4"/>
      <c r="O8" s="4"/>
      <c r="P8" s="4"/>
      <c r="Q8" s="4"/>
      <c r="R8" s="4"/>
      <c r="S8" s="4"/>
      <c r="T8" s="4"/>
      <c r="U8" s="4"/>
      <c r="V8" s="4"/>
      <c r="W8" s="4"/>
    </row>
    <row r="9" spans="2:33" ht="17.25" customHeight="1" thickBot="1" x14ac:dyDescent="0.4">
      <c r="B9" s="4"/>
      <c r="C9" s="4"/>
      <c r="D9" s="1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1"/>
      <c r="R9" s="66" t="s">
        <v>106</v>
      </c>
      <c r="S9" s="61"/>
      <c r="T9" s="61"/>
      <c r="U9" s="66" t="s">
        <v>106</v>
      </c>
      <c r="V9" s="61"/>
      <c r="W9" s="61"/>
    </row>
    <row r="10" spans="2:33" ht="59.25" customHeight="1" thickBot="1" x14ac:dyDescent="0.25">
      <c r="B10" s="67" t="s">
        <v>9</v>
      </c>
      <c r="C10" s="176" t="s">
        <v>205</v>
      </c>
      <c r="D10" s="68" t="s">
        <v>124</v>
      </c>
      <c r="E10" s="148" t="s">
        <v>91</v>
      </c>
      <c r="F10" s="139" t="s">
        <v>10</v>
      </c>
      <c r="G10" s="148" t="s">
        <v>130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38" t="s">
        <v>135</v>
      </c>
      <c r="M10" s="69" t="s">
        <v>137</v>
      </c>
      <c r="N10" s="138" t="s">
        <v>136</v>
      </c>
      <c r="O10" s="139" t="s">
        <v>138</v>
      </c>
      <c r="P10" s="69" t="s">
        <v>139</v>
      </c>
      <c r="Q10" s="69" t="s">
        <v>111</v>
      </c>
      <c r="R10" s="189">
        <v>4.0500000000000001E-2</v>
      </c>
      <c r="S10" s="69" t="s">
        <v>112</v>
      </c>
      <c r="T10" s="69" t="s">
        <v>113</v>
      </c>
      <c r="U10" s="189">
        <v>4.0500000000000001E-2</v>
      </c>
      <c r="V10" s="69" t="s">
        <v>114</v>
      </c>
      <c r="W10" s="70" t="s">
        <v>115</v>
      </c>
      <c r="Z10" s="71"/>
    </row>
    <row r="11" spans="2:33" ht="16" thickBot="1" x14ac:dyDescent="0.25">
      <c r="B11" s="72" t="s">
        <v>116</v>
      </c>
      <c r="C11" s="73"/>
      <c r="D11" s="109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190"/>
      <c r="S11" s="73"/>
      <c r="T11" s="73"/>
      <c r="U11" s="190"/>
      <c r="V11" s="73"/>
      <c r="W11" s="73"/>
    </row>
    <row r="12" spans="2:33" ht="12.5" x14ac:dyDescent="0.25">
      <c r="B12" s="62" t="s">
        <v>92</v>
      </c>
      <c r="C12" s="62"/>
      <c r="D12" s="115"/>
      <c r="E12" s="63"/>
      <c r="F12" s="63"/>
      <c r="G12" s="63"/>
      <c r="H12" s="63"/>
      <c r="I12" s="63"/>
      <c r="J12" s="63"/>
      <c r="K12" s="63"/>
      <c r="L12" s="74"/>
      <c r="M12" s="74"/>
      <c r="N12" s="74"/>
      <c r="O12" s="74"/>
      <c r="P12" s="75"/>
      <c r="Q12" s="75"/>
      <c r="R12" s="191"/>
      <c r="S12" s="75"/>
      <c r="T12" s="75"/>
      <c r="U12" s="191"/>
      <c r="V12" s="75"/>
      <c r="W12" s="75"/>
    </row>
    <row r="13" spans="2:33" s="185" customFormat="1" ht="12" customHeight="1" x14ac:dyDescent="0.35">
      <c r="B13" s="180" t="s">
        <v>155</v>
      </c>
      <c r="C13" s="180">
        <v>1044</v>
      </c>
      <c r="D13" s="492">
        <v>170</v>
      </c>
      <c r="E13" s="179">
        <v>7488670</v>
      </c>
      <c r="F13" s="181">
        <f>(+G13/E13)-1</f>
        <v>5.5060511412573954E-2</v>
      </c>
      <c r="G13" s="179">
        <v>7901000</v>
      </c>
      <c r="H13" s="182">
        <v>7.0000000000000007E-2</v>
      </c>
      <c r="I13" s="183">
        <f t="shared" ref="I13:I22" si="1">+(G13*H13)+G13</f>
        <v>8454070</v>
      </c>
      <c r="J13" s="182">
        <v>0.1</v>
      </c>
      <c r="K13" s="183">
        <f t="shared" ref="K13:K22" si="2">+(G13*J13)+G13</f>
        <v>8691100</v>
      </c>
      <c r="L13" s="184">
        <v>579</v>
      </c>
      <c r="M13" s="493">
        <v>3956898600</v>
      </c>
      <c r="N13" s="495">
        <v>549</v>
      </c>
      <c r="O13" s="497">
        <v>3675763600</v>
      </c>
      <c r="P13" s="497">
        <f>+M13+O13</f>
        <v>7632662200</v>
      </c>
      <c r="Q13" s="497">
        <f>M13/(1+F13)</f>
        <v>3750399675.8463483</v>
      </c>
      <c r="R13" s="497">
        <f>($Q13*$R$10)+$Q13</f>
        <v>3902290862.7181253</v>
      </c>
      <c r="S13" s="497">
        <f>M13-R13</f>
        <v>54607737.281874657</v>
      </c>
      <c r="T13" s="497">
        <f>O13/(1+F13)</f>
        <v>3483936286.3450193</v>
      </c>
      <c r="U13" s="497">
        <f t="shared" ref="U13:U22" si="3">($T13*$U$10)+$T13</f>
        <v>3625035705.9419928</v>
      </c>
      <c r="V13" s="497">
        <f t="shared" ref="V13:V22" si="4">O13-U13</f>
        <v>50727894.05800724</v>
      </c>
      <c r="W13" s="497">
        <f t="shared" ref="W13:W22" si="5">S13+V13</f>
        <v>105335631.3398819</v>
      </c>
      <c r="Y13" s="186"/>
      <c r="AA13" s="186"/>
      <c r="AB13" s="187"/>
      <c r="AC13" s="187"/>
      <c r="AD13" s="187"/>
      <c r="AE13" s="187"/>
      <c r="AF13" s="187"/>
      <c r="AG13" s="186"/>
    </row>
    <row r="14" spans="2:33" s="185" customFormat="1" ht="12" customHeight="1" x14ac:dyDescent="0.35">
      <c r="B14" s="180" t="s">
        <v>154</v>
      </c>
      <c r="C14" s="180">
        <v>1044</v>
      </c>
      <c r="D14" s="492"/>
      <c r="E14" s="179">
        <v>7098522</v>
      </c>
      <c r="F14" s="192">
        <f t="shared" ref="F14:F22" si="6">(+G14/E14)-1</f>
        <v>5.5008352442945219E-2</v>
      </c>
      <c r="G14" s="179">
        <v>7489000</v>
      </c>
      <c r="H14" s="182">
        <v>7.0000000000000007E-2</v>
      </c>
      <c r="I14" s="183">
        <f t="shared" si="1"/>
        <v>8013230</v>
      </c>
      <c r="J14" s="182">
        <v>0.1</v>
      </c>
      <c r="K14" s="183">
        <f t="shared" si="2"/>
        <v>8237900</v>
      </c>
      <c r="L14" s="188"/>
      <c r="M14" s="494"/>
      <c r="N14" s="496"/>
      <c r="O14" s="498"/>
      <c r="P14" s="498"/>
      <c r="Q14" s="498"/>
      <c r="R14" s="498"/>
      <c r="S14" s="498"/>
      <c r="T14" s="498"/>
      <c r="U14" s="498"/>
      <c r="V14" s="498"/>
      <c r="W14" s="498"/>
      <c r="Y14" s="186"/>
      <c r="AA14" s="186"/>
      <c r="AB14" s="187"/>
      <c r="AC14" s="187"/>
      <c r="AD14" s="187"/>
      <c r="AE14" s="187"/>
      <c r="AF14" s="187"/>
      <c r="AG14" s="186"/>
    </row>
    <row r="15" spans="2:33" s="185" customFormat="1" ht="12" customHeight="1" x14ac:dyDescent="0.35">
      <c r="B15" s="180" t="s">
        <v>156</v>
      </c>
      <c r="C15" s="180">
        <v>8114</v>
      </c>
      <c r="D15" s="499">
        <v>175</v>
      </c>
      <c r="E15" s="179">
        <v>7488670</v>
      </c>
      <c r="F15" s="181">
        <f t="shared" si="6"/>
        <v>5.5060511412573954E-2</v>
      </c>
      <c r="G15" s="179">
        <v>7901000</v>
      </c>
      <c r="H15" s="182">
        <v>7.0000000000000007E-2</v>
      </c>
      <c r="I15" s="183">
        <f t="shared" si="1"/>
        <v>8454070</v>
      </c>
      <c r="J15" s="182">
        <v>0.1</v>
      </c>
      <c r="K15" s="183">
        <f t="shared" si="2"/>
        <v>8691100</v>
      </c>
      <c r="L15" s="495">
        <v>664</v>
      </c>
      <c r="M15" s="500">
        <v>4696452000</v>
      </c>
      <c r="N15" s="495">
        <v>646</v>
      </c>
      <c r="O15" s="497">
        <v>4558266000</v>
      </c>
      <c r="P15" s="497">
        <f>+M15+O15</f>
        <v>9254718000</v>
      </c>
      <c r="Q15" s="497">
        <f>M15/(1+F15)</f>
        <v>4451357954.5424633</v>
      </c>
      <c r="R15" s="497">
        <f>($Q15*$R$10)+$Q15</f>
        <v>4631637951.7014332</v>
      </c>
      <c r="S15" s="497">
        <f t="shared" ref="S15:S22" si="7">M15-R15</f>
        <v>64814048.298566818</v>
      </c>
      <c r="T15" s="497">
        <f>O15/(1+F15)</f>
        <v>4320383476.2966709</v>
      </c>
      <c r="U15" s="497">
        <f t="shared" si="3"/>
        <v>4495359007.0866861</v>
      </c>
      <c r="V15" s="497">
        <f t="shared" si="4"/>
        <v>62906992.913313866</v>
      </c>
      <c r="W15" s="497">
        <f t="shared" si="5"/>
        <v>127721041.21188068</v>
      </c>
      <c r="Y15" s="186"/>
      <c r="AA15" s="186"/>
      <c r="AB15" s="187"/>
      <c r="AC15" s="187"/>
      <c r="AD15" s="187"/>
      <c r="AE15" s="187"/>
      <c r="AF15" s="187"/>
      <c r="AG15" s="186"/>
    </row>
    <row r="16" spans="2:33" s="185" customFormat="1" ht="12" customHeight="1" x14ac:dyDescent="0.35">
      <c r="B16" s="180" t="s">
        <v>157</v>
      </c>
      <c r="C16" s="180">
        <v>8114</v>
      </c>
      <c r="D16" s="499"/>
      <c r="E16" s="179">
        <v>7164532</v>
      </c>
      <c r="F16" s="181">
        <f t="shared" si="6"/>
        <v>5.5058446246035286E-2</v>
      </c>
      <c r="G16" s="179">
        <v>7559000</v>
      </c>
      <c r="H16" s="182">
        <v>7.0000000000000007E-2</v>
      </c>
      <c r="I16" s="183">
        <f t="shared" si="1"/>
        <v>8088130</v>
      </c>
      <c r="J16" s="182">
        <v>0.1</v>
      </c>
      <c r="K16" s="183">
        <f t="shared" si="2"/>
        <v>8314900</v>
      </c>
      <c r="L16" s="496"/>
      <c r="M16" s="500"/>
      <c r="N16" s="496"/>
      <c r="O16" s="498"/>
      <c r="P16" s="498"/>
      <c r="Q16" s="498"/>
      <c r="R16" s="498"/>
      <c r="S16" s="498"/>
      <c r="T16" s="498"/>
      <c r="U16" s="498"/>
      <c r="V16" s="498"/>
      <c r="W16" s="498"/>
      <c r="Y16" s="186"/>
      <c r="AA16" s="186"/>
      <c r="AB16" s="187"/>
      <c r="AC16" s="187"/>
      <c r="AD16" s="187"/>
      <c r="AE16" s="187"/>
      <c r="AF16" s="187"/>
      <c r="AG16" s="186"/>
    </row>
    <row r="17" spans="2:33" s="185" customFormat="1" ht="12" customHeight="1" x14ac:dyDescent="0.35">
      <c r="B17" s="180" t="s">
        <v>158</v>
      </c>
      <c r="C17" s="180">
        <v>1043</v>
      </c>
      <c r="D17" s="492">
        <v>170</v>
      </c>
      <c r="E17" s="179">
        <v>7488670</v>
      </c>
      <c r="F17" s="181">
        <f t="shared" si="6"/>
        <v>5.5060511412573954E-2</v>
      </c>
      <c r="G17" s="179">
        <v>7901000</v>
      </c>
      <c r="H17" s="182">
        <v>7.0000000000000007E-2</v>
      </c>
      <c r="I17" s="183">
        <f t="shared" si="1"/>
        <v>8454070</v>
      </c>
      <c r="J17" s="182">
        <v>0.1</v>
      </c>
      <c r="K17" s="183">
        <f t="shared" si="2"/>
        <v>8691100</v>
      </c>
      <c r="L17" s="495">
        <v>221</v>
      </c>
      <c r="M17" s="500">
        <v>1473933700</v>
      </c>
      <c r="N17" s="495">
        <v>228</v>
      </c>
      <c r="O17" s="497">
        <v>1522044000</v>
      </c>
      <c r="P17" s="497">
        <f>+M17+O17</f>
        <v>2995977700</v>
      </c>
      <c r="Q17" s="497">
        <f>M17/(1+F17)</f>
        <v>1397013426.2978103</v>
      </c>
      <c r="R17" s="497">
        <f>($Q17*$R$10)+$Q17</f>
        <v>1453592470.0628717</v>
      </c>
      <c r="S17" s="497">
        <f t="shared" si="7"/>
        <v>20341229.937128305</v>
      </c>
      <c r="T17" s="497">
        <f>O17/(1+F17)</f>
        <v>1442612990.9479811</v>
      </c>
      <c r="U17" s="497">
        <f t="shared" si="3"/>
        <v>1501038817.0813744</v>
      </c>
      <c r="V17" s="497">
        <f t="shared" si="4"/>
        <v>21005182.918625593</v>
      </c>
      <c r="W17" s="497">
        <f t="shared" si="5"/>
        <v>41346412.855753899</v>
      </c>
      <c r="Y17" s="186"/>
      <c r="AA17" s="186"/>
      <c r="AB17" s="187"/>
      <c r="AC17" s="187"/>
      <c r="AD17" s="187"/>
      <c r="AE17" s="187"/>
      <c r="AF17" s="187"/>
      <c r="AG17" s="186"/>
    </row>
    <row r="18" spans="2:33" s="185" customFormat="1" ht="12" customHeight="1" x14ac:dyDescent="0.35">
      <c r="B18" s="180" t="s">
        <v>159</v>
      </c>
      <c r="C18" s="180">
        <v>1043</v>
      </c>
      <c r="D18" s="492"/>
      <c r="E18" s="179">
        <v>7098522</v>
      </c>
      <c r="F18" s="192">
        <f t="shared" si="6"/>
        <v>5.5008352442945219E-2</v>
      </c>
      <c r="G18" s="179">
        <v>7489000</v>
      </c>
      <c r="H18" s="182">
        <v>7.0000000000000007E-2</v>
      </c>
      <c r="I18" s="183">
        <f t="shared" si="1"/>
        <v>8013230</v>
      </c>
      <c r="J18" s="182">
        <v>0.1</v>
      </c>
      <c r="K18" s="183">
        <f t="shared" si="2"/>
        <v>8237900</v>
      </c>
      <c r="L18" s="496"/>
      <c r="M18" s="500"/>
      <c r="N18" s="496"/>
      <c r="O18" s="498"/>
      <c r="P18" s="498"/>
      <c r="Q18" s="498"/>
      <c r="R18" s="498"/>
      <c r="S18" s="498"/>
      <c r="T18" s="498"/>
      <c r="U18" s="498"/>
      <c r="V18" s="498"/>
      <c r="W18" s="498"/>
      <c r="Y18" s="186"/>
      <c r="AA18" s="186"/>
      <c r="AB18" s="187"/>
      <c r="AC18" s="187"/>
      <c r="AD18" s="187"/>
      <c r="AE18" s="187"/>
      <c r="AF18" s="187"/>
      <c r="AG18" s="186"/>
    </row>
    <row r="19" spans="2:33" s="185" customFormat="1" ht="12" customHeight="1" x14ac:dyDescent="0.35">
      <c r="B19" s="180" t="s">
        <v>160</v>
      </c>
      <c r="C19" s="180">
        <v>1042</v>
      </c>
      <c r="D19" s="499">
        <v>170</v>
      </c>
      <c r="E19" s="179">
        <v>7488670</v>
      </c>
      <c r="F19" s="181">
        <f t="shared" si="6"/>
        <v>5.5060511412573954E-2</v>
      </c>
      <c r="G19" s="179">
        <v>7901000</v>
      </c>
      <c r="H19" s="182">
        <v>7.0000000000000007E-2</v>
      </c>
      <c r="I19" s="183">
        <f t="shared" si="1"/>
        <v>8454070</v>
      </c>
      <c r="J19" s="182">
        <v>0.1</v>
      </c>
      <c r="K19" s="183">
        <f t="shared" si="2"/>
        <v>8691100</v>
      </c>
      <c r="L19" s="495">
        <v>169</v>
      </c>
      <c r="M19" s="500">
        <v>1092805000</v>
      </c>
      <c r="N19" s="495">
        <v>161</v>
      </c>
      <c r="O19" s="497">
        <v>1045037600</v>
      </c>
      <c r="P19" s="497">
        <f>+M19+O19</f>
        <v>2137842600</v>
      </c>
      <c r="Q19" s="497">
        <f>M19/(1+F19)</f>
        <v>1035774714.5108213</v>
      </c>
      <c r="R19" s="497">
        <f>($Q19*$R$10)+$Q19</f>
        <v>1077723590.4485097</v>
      </c>
      <c r="S19" s="497">
        <f t="shared" si="7"/>
        <v>15081409.551490307</v>
      </c>
      <c r="T19" s="497">
        <f>O19/(1+F19)</f>
        <v>990500154.91608655</v>
      </c>
      <c r="U19" s="497">
        <f t="shared" si="3"/>
        <v>1030615411.1901881</v>
      </c>
      <c r="V19" s="497">
        <f t="shared" si="4"/>
        <v>14422188.80981195</v>
      </c>
      <c r="W19" s="497">
        <f t="shared" si="5"/>
        <v>29503598.361302257</v>
      </c>
      <c r="Y19" s="186"/>
      <c r="AA19" s="186"/>
      <c r="AB19" s="187"/>
      <c r="AC19" s="187"/>
      <c r="AD19" s="187"/>
      <c r="AE19" s="187"/>
      <c r="AF19" s="187"/>
      <c r="AG19" s="186"/>
    </row>
    <row r="20" spans="2:33" s="185" customFormat="1" ht="13.5" customHeight="1" x14ac:dyDescent="0.35">
      <c r="B20" s="180" t="s">
        <v>169</v>
      </c>
      <c r="C20" s="180">
        <v>1042</v>
      </c>
      <c r="D20" s="499"/>
      <c r="E20" s="179">
        <v>7098522</v>
      </c>
      <c r="F20" s="181">
        <f t="shared" si="6"/>
        <v>5.5008352442945219E-2</v>
      </c>
      <c r="G20" s="179">
        <v>7489000</v>
      </c>
      <c r="H20" s="182">
        <v>7.0000000000000007E-2</v>
      </c>
      <c r="I20" s="183">
        <f t="shared" si="1"/>
        <v>8013230</v>
      </c>
      <c r="J20" s="182">
        <v>0.1</v>
      </c>
      <c r="K20" s="183">
        <f t="shared" si="2"/>
        <v>8237900</v>
      </c>
      <c r="L20" s="496"/>
      <c r="M20" s="500"/>
      <c r="N20" s="496"/>
      <c r="O20" s="498"/>
      <c r="P20" s="498"/>
      <c r="Q20" s="498"/>
      <c r="R20" s="498"/>
      <c r="S20" s="498"/>
      <c r="T20" s="498"/>
      <c r="U20" s="498"/>
      <c r="V20" s="498"/>
      <c r="W20" s="498"/>
      <c r="Y20" s="186"/>
      <c r="AA20" s="186"/>
      <c r="AB20" s="187"/>
      <c r="AC20" s="187"/>
      <c r="AD20" s="187"/>
      <c r="AE20" s="187"/>
      <c r="AF20" s="187"/>
      <c r="AG20" s="186"/>
    </row>
    <row r="21" spans="2:33" s="185" customFormat="1" ht="12" customHeight="1" x14ac:dyDescent="0.35">
      <c r="B21" s="180" t="s">
        <v>145</v>
      </c>
      <c r="C21" s="180">
        <v>53052</v>
      </c>
      <c r="D21" s="267">
        <v>144</v>
      </c>
      <c r="E21" s="179">
        <v>4453202</v>
      </c>
      <c r="F21" s="181">
        <f t="shared" si="6"/>
        <v>5.5195789456665034E-2</v>
      </c>
      <c r="G21" s="179">
        <v>4699000</v>
      </c>
      <c r="H21" s="182">
        <v>7.0000000000000007E-2</v>
      </c>
      <c r="I21" s="183">
        <f t="shared" si="1"/>
        <v>5027930</v>
      </c>
      <c r="J21" s="182">
        <v>0.1</v>
      </c>
      <c r="K21" s="183">
        <f t="shared" si="2"/>
        <v>5168900</v>
      </c>
      <c r="L21" s="193">
        <v>30</v>
      </c>
      <c r="M21" s="179">
        <v>180858700</v>
      </c>
      <c r="N21" s="193">
        <v>25</v>
      </c>
      <c r="O21" s="194">
        <v>147858300</v>
      </c>
      <c r="P21" s="194">
        <f t="shared" ref="P21" si="8">+M21+O21</f>
        <v>328717000</v>
      </c>
      <c r="Q21" s="194">
        <f>M21/(1+F21)</f>
        <v>171398238.89282829</v>
      </c>
      <c r="R21" s="194">
        <f t="shared" ref="R21:R22" si="9">($Q21*$R$10)+$Q21</f>
        <v>178339867.56798783</v>
      </c>
      <c r="S21" s="194">
        <f t="shared" si="7"/>
        <v>2518832.4320121706</v>
      </c>
      <c r="T21" s="194">
        <f>O21/(1+F21)</f>
        <v>140124042.83392212</v>
      </c>
      <c r="U21" s="194">
        <f t="shared" si="3"/>
        <v>145799066.56869596</v>
      </c>
      <c r="V21" s="194">
        <f t="shared" si="4"/>
        <v>2059233.4313040376</v>
      </c>
      <c r="W21" s="194">
        <f t="shared" si="5"/>
        <v>4578065.8633162081</v>
      </c>
      <c r="Y21" s="186"/>
      <c r="AA21" s="186"/>
      <c r="AB21" s="187"/>
      <c r="AC21" s="187"/>
      <c r="AD21" s="187"/>
      <c r="AE21" s="187"/>
      <c r="AF21" s="187"/>
      <c r="AG21" s="186"/>
    </row>
    <row r="22" spans="2:33" s="185" customFormat="1" ht="12" customHeight="1" x14ac:dyDescent="0.35">
      <c r="B22" s="180" t="s">
        <v>146</v>
      </c>
      <c r="C22" s="180">
        <v>54562</v>
      </c>
      <c r="D22" s="267">
        <v>170</v>
      </c>
      <c r="E22" s="179">
        <v>6442365</v>
      </c>
      <c r="F22" s="181">
        <f t="shared" si="6"/>
        <v>5.5047331220755114E-2</v>
      </c>
      <c r="G22" s="179">
        <v>6797000</v>
      </c>
      <c r="H22" s="182">
        <v>7.0000000000000007E-2</v>
      </c>
      <c r="I22" s="183">
        <f t="shared" si="1"/>
        <v>7272790</v>
      </c>
      <c r="J22" s="182">
        <v>0.1</v>
      </c>
      <c r="K22" s="183">
        <f t="shared" si="2"/>
        <v>7476700</v>
      </c>
      <c r="L22" s="195">
        <v>163</v>
      </c>
      <c r="M22" s="179">
        <v>738212900</v>
      </c>
      <c r="N22" s="195">
        <v>175</v>
      </c>
      <c r="O22" s="194">
        <v>803059100</v>
      </c>
      <c r="P22" s="194">
        <f>+M22+O22</f>
        <v>1541272000</v>
      </c>
      <c r="Q22" s="194">
        <f>M22/(1+F22)</f>
        <v>699696476.31432986</v>
      </c>
      <c r="R22" s="194">
        <f t="shared" si="9"/>
        <v>728034183.60506022</v>
      </c>
      <c r="S22" s="194">
        <f t="shared" si="7"/>
        <v>10178716.39493978</v>
      </c>
      <c r="T22" s="194">
        <f>O22/(1+F22)</f>
        <v>761159311.28019714</v>
      </c>
      <c r="U22" s="194">
        <f t="shared" si="3"/>
        <v>791986263.38704515</v>
      </c>
      <c r="V22" s="194">
        <f t="shared" si="4"/>
        <v>11072836.612954855</v>
      </c>
      <c r="W22" s="194">
        <f t="shared" si="5"/>
        <v>21251553.007894635</v>
      </c>
      <c r="Y22" s="186"/>
      <c r="AA22" s="186"/>
      <c r="AB22" s="187"/>
      <c r="AC22" s="187"/>
      <c r="AD22" s="187"/>
      <c r="AE22" s="187"/>
      <c r="AF22" s="187"/>
      <c r="AG22" s="186"/>
    </row>
    <row r="23" spans="2:33" ht="12.5" x14ac:dyDescent="0.25">
      <c r="B23" s="62" t="s">
        <v>93</v>
      </c>
      <c r="C23" s="62"/>
      <c r="D23" s="115"/>
      <c r="E23" s="158"/>
      <c r="F23" s="178"/>
      <c r="G23" s="159"/>
      <c r="H23" s="64"/>
      <c r="I23" s="64"/>
      <c r="J23" s="64"/>
      <c r="K23" s="120"/>
      <c r="L23" s="122"/>
      <c r="M23" s="121"/>
      <c r="N23" s="64"/>
      <c r="O23" s="64"/>
      <c r="P23" s="64"/>
      <c r="Q23" s="64"/>
      <c r="R23" s="64"/>
      <c r="S23" s="64"/>
      <c r="T23" s="64"/>
      <c r="U23" s="64"/>
      <c r="V23" s="64"/>
      <c r="W23" s="64"/>
      <c r="Y23" s="124"/>
      <c r="AA23" s="124"/>
      <c r="AB23" s="123"/>
      <c r="AC23" s="123"/>
      <c r="AD23" s="123"/>
      <c r="AE23" s="123"/>
      <c r="AF23" s="123"/>
      <c r="AG23" s="124"/>
    </row>
    <row r="24" spans="2:33" s="185" customFormat="1" ht="15.5" x14ac:dyDescent="0.35">
      <c r="B24" s="180" t="s">
        <v>170</v>
      </c>
      <c r="C24" s="180">
        <v>1041</v>
      </c>
      <c r="D24" s="492">
        <v>162</v>
      </c>
      <c r="E24" s="179">
        <v>5600000</v>
      </c>
      <c r="F24" s="181">
        <v>5.4999999999999938E-2</v>
      </c>
      <c r="G24" s="234">
        <v>5908000</v>
      </c>
      <c r="H24" s="182">
        <v>7.0000000000000007E-2</v>
      </c>
      <c r="I24" s="183">
        <f t="shared" ref="I24:I38" si="10">+(G24*H24)+G24</f>
        <v>6321560</v>
      </c>
      <c r="J24" s="182">
        <v>0.1</v>
      </c>
      <c r="K24" s="183">
        <f t="shared" ref="K24:K38" si="11">+(G24*J24)+G24</f>
        <v>6498800</v>
      </c>
      <c r="L24" s="495">
        <v>127</v>
      </c>
      <c r="M24" s="505">
        <v>438612300</v>
      </c>
      <c r="N24" s="495">
        <v>99</v>
      </c>
      <c r="O24" s="501">
        <v>378189000</v>
      </c>
      <c r="P24" s="497">
        <f>+M24+O24</f>
        <v>816801300</v>
      </c>
      <c r="Q24" s="497">
        <f>M24/(1+F24)</f>
        <v>415746255.92417061</v>
      </c>
      <c r="R24" s="501">
        <f t="shared" ref="R24:R37" si="12">($Q24*$R$10)+$Q24</f>
        <v>432583979.28909951</v>
      </c>
      <c r="S24" s="497">
        <f t="shared" ref="S24:S34" si="13">M24-R24</f>
        <v>6028320.7109004855</v>
      </c>
      <c r="T24" s="497">
        <f>O24/(1+F24)</f>
        <v>358472985.78199053</v>
      </c>
      <c r="U24" s="501">
        <f t="shared" ref="U24:U37" si="14">($T24*$U$10)+$T24</f>
        <v>372991141.70616114</v>
      </c>
      <c r="V24" s="497">
        <f t="shared" ref="V24:V34" si="15">O24-U24</f>
        <v>5197858.2938388586</v>
      </c>
      <c r="W24" s="497">
        <f t="shared" ref="W24:W37" si="16">S24+V24</f>
        <v>11226179.004739344</v>
      </c>
      <c r="Y24" s="186"/>
      <c r="AA24" s="186"/>
      <c r="AB24" s="187"/>
      <c r="AC24" s="187"/>
      <c r="AD24" s="187"/>
      <c r="AE24" s="187"/>
      <c r="AF24" s="187"/>
      <c r="AG24" s="186"/>
    </row>
    <row r="25" spans="2:33" s="185" customFormat="1" ht="15.5" x14ac:dyDescent="0.35">
      <c r="B25" s="180" t="s">
        <v>171</v>
      </c>
      <c r="C25" s="180">
        <v>1041</v>
      </c>
      <c r="D25" s="492"/>
      <c r="E25" s="179">
        <v>4120197</v>
      </c>
      <c r="F25" s="181">
        <v>5.5046639760186311E-2</v>
      </c>
      <c r="G25" s="179">
        <v>4347000</v>
      </c>
      <c r="H25" s="182">
        <v>7.0000000000000007E-2</v>
      </c>
      <c r="I25" s="183">
        <f t="shared" si="10"/>
        <v>4651290</v>
      </c>
      <c r="J25" s="182">
        <v>0.1</v>
      </c>
      <c r="K25" s="183">
        <f t="shared" si="11"/>
        <v>4781700</v>
      </c>
      <c r="L25" s="496"/>
      <c r="M25" s="505"/>
      <c r="N25" s="496"/>
      <c r="O25" s="502"/>
      <c r="P25" s="498"/>
      <c r="Q25" s="498"/>
      <c r="R25" s="502"/>
      <c r="S25" s="498"/>
      <c r="T25" s="498"/>
      <c r="U25" s="502"/>
      <c r="V25" s="498"/>
      <c r="W25" s="498"/>
      <c r="Y25" s="186"/>
      <c r="AA25" s="186"/>
      <c r="AB25" s="187"/>
      <c r="AC25" s="187"/>
      <c r="AD25" s="187"/>
      <c r="AE25" s="187"/>
      <c r="AF25" s="187"/>
      <c r="AG25" s="186"/>
    </row>
    <row r="26" spans="2:33" s="185" customFormat="1" ht="15.5" x14ac:dyDescent="0.35">
      <c r="B26" s="180" t="s">
        <v>172</v>
      </c>
      <c r="C26" s="180">
        <v>1041</v>
      </c>
      <c r="D26" s="492">
        <v>160</v>
      </c>
      <c r="E26" s="179">
        <v>5600000</v>
      </c>
      <c r="F26" s="181">
        <v>5.4999999999999938E-2</v>
      </c>
      <c r="G26" s="234">
        <v>5908000</v>
      </c>
      <c r="H26" s="182">
        <v>7.0000000000000007E-2</v>
      </c>
      <c r="I26" s="183">
        <f t="shared" si="10"/>
        <v>6321560</v>
      </c>
      <c r="J26" s="182">
        <v>0.1</v>
      </c>
      <c r="K26" s="183">
        <f t="shared" si="11"/>
        <v>6498800</v>
      </c>
      <c r="L26" s="495">
        <v>44</v>
      </c>
      <c r="M26" s="505">
        <v>212040400</v>
      </c>
      <c r="N26" s="495">
        <v>54</v>
      </c>
      <c r="O26" s="501">
        <v>259124000</v>
      </c>
      <c r="P26" s="497">
        <f>+M26+O26</f>
        <v>471164400</v>
      </c>
      <c r="Q26" s="497">
        <f>M26/(1+F26)</f>
        <v>200986161.13744077</v>
      </c>
      <c r="R26" s="501">
        <f t="shared" si="12"/>
        <v>209126100.66350713</v>
      </c>
      <c r="S26" s="497">
        <f t="shared" si="13"/>
        <v>2914299.3364928663</v>
      </c>
      <c r="T26" s="497">
        <f>O26/(1+F26)</f>
        <v>245615165.87677726</v>
      </c>
      <c r="U26" s="501">
        <f t="shared" si="14"/>
        <v>255562580.09478673</v>
      </c>
      <c r="V26" s="497">
        <f t="shared" si="15"/>
        <v>3561419.9052132666</v>
      </c>
      <c r="W26" s="497">
        <f t="shared" si="16"/>
        <v>6475719.2417061329</v>
      </c>
      <c r="Y26" s="186"/>
      <c r="AA26" s="186"/>
      <c r="AB26" s="187"/>
      <c r="AC26" s="187"/>
      <c r="AD26" s="187"/>
      <c r="AE26" s="187"/>
      <c r="AF26" s="187"/>
      <c r="AG26" s="186"/>
    </row>
    <row r="27" spans="2:33" s="185" customFormat="1" ht="15.5" x14ac:dyDescent="0.35">
      <c r="B27" s="180" t="s">
        <v>173</v>
      </c>
      <c r="C27" s="180">
        <v>1041</v>
      </c>
      <c r="D27" s="492"/>
      <c r="E27" s="179">
        <v>4297537</v>
      </c>
      <c r="F27" s="181">
        <v>5.5022911960967313E-2</v>
      </c>
      <c r="G27" s="179">
        <v>4534000</v>
      </c>
      <c r="H27" s="182">
        <v>7.0000000000000007E-2</v>
      </c>
      <c r="I27" s="183">
        <f t="shared" si="10"/>
        <v>4851380</v>
      </c>
      <c r="J27" s="182">
        <v>0.1</v>
      </c>
      <c r="K27" s="183">
        <f t="shared" si="11"/>
        <v>4987400</v>
      </c>
      <c r="L27" s="496"/>
      <c r="M27" s="505"/>
      <c r="N27" s="496"/>
      <c r="O27" s="502"/>
      <c r="P27" s="498"/>
      <c r="Q27" s="498"/>
      <c r="R27" s="502"/>
      <c r="S27" s="498"/>
      <c r="T27" s="498"/>
      <c r="U27" s="502"/>
      <c r="V27" s="498"/>
      <c r="W27" s="498"/>
      <c r="Y27" s="186"/>
      <c r="AA27" s="186"/>
      <c r="AB27" s="187"/>
      <c r="AC27" s="187"/>
      <c r="AD27" s="187"/>
      <c r="AE27" s="187"/>
      <c r="AF27" s="187"/>
      <c r="AG27" s="186"/>
    </row>
    <row r="28" spans="2:33" s="185" customFormat="1" ht="15.5" x14ac:dyDescent="0.35">
      <c r="B28" s="180" t="s">
        <v>174</v>
      </c>
      <c r="C28" s="180">
        <v>1040</v>
      </c>
      <c r="D28" s="492">
        <v>160</v>
      </c>
      <c r="E28" s="179">
        <v>7642365</v>
      </c>
      <c r="F28" s="181">
        <v>5.5039899298188422E-2</v>
      </c>
      <c r="G28" s="234">
        <v>8063000</v>
      </c>
      <c r="H28" s="182">
        <v>7.0000000000000007E-2</v>
      </c>
      <c r="I28" s="183">
        <f t="shared" si="10"/>
        <v>8627410</v>
      </c>
      <c r="J28" s="182">
        <v>0.1</v>
      </c>
      <c r="K28" s="183">
        <f t="shared" si="11"/>
        <v>8869300</v>
      </c>
      <c r="L28" s="495">
        <v>604</v>
      </c>
      <c r="M28" s="501">
        <v>4380809600</v>
      </c>
      <c r="N28" s="507">
        <v>612</v>
      </c>
      <c r="O28" s="501">
        <v>4482548300</v>
      </c>
      <c r="P28" s="497">
        <f>+M28+O28</f>
        <v>8863357900</v>
      </c>
      <c r="Q28" s="497">
        <f>M28/(1+F28)</f>
        <v>4152269125.4748855</v>
      </c>
      <c r="R28" s="501">
        <f t="shared" si="12"/>
        <v>4320436025.0566187</v>
      </c>
      <c r="S28" s="497">
        <f t="shared" si="13"/>
        <v>60373574.94338131</v>
      </c>
      <c r="T28" s="497">
        <f>O28/(1+F28)</f>
        <v>4248700265.2523255</v>
      </c>
      <c r="U28" s="497">
        <f t="shared" si="14"/>
        <v>4420772625.9950447</v>
      </c>
      <c r="V28" s="497">
        <f t="shared" si="15"/>
        <v>61775674.004955292</v>
      </c>
      <c r="W28" s="497">
        <f t="shared" si="16"/>
        <v>122149248.9483366</v>
      </c>
      <c r="Y28" s="186"/>
      <c r="AA28" s="186"/>
      <c r="AB28" s="187"/>
      <c r="AC28" s="187"/>
      <c r="AD28" s="187"/>
      <c r="AE28" s="187"/>
      <c r="AF28" s="187"/>
      <c r="AG28" s="186"/>
    </row>
    <row r="29" spans="2:33" s="185" customFormat="1" ht="15.5" x14ac:dyDescent="0.35">
      <c r="B29" s="180" t="s">
        <v>175</v>
      </c>
      <c r="C29" s="180">
        <v>1040</v>
      </c>
      <c r="D29" s="492"/>
      <c r="E29" s="179">
        <v>7306404</v>
      </c>
      <c r="F29" s="181">
        <v>5.510179836756901E-2</v>
      </c>
      <c r="G29" s="179">
        <v>7709000</v>
      </c>
      <c r="H29" s="182">
        <v>7.0000000000000007E-2</v>
      </c>
      <c r="I29" s="183">
        <f t="shared" si="10"/>
        <v>8248630</v>
      </c>
      <c r="J29" s="182">
        <v>0.1</v>
      </c>
      <c r="K29" s="183">
        <f t="shared" si="11"/>
        <v>8479900</v>
      </c>
      <c r="L29" s="506"/>
      <c r="M29" s="503"/>
      <c r="N29" s="508"/>
      <c r="O29" s="503"/>
      <c r="P29" s="504"/>
      <c r="Q29" s="504"/>
      <c r="R29" s="503"/>
      <c r="S29" s="504"/>
      <c r="T29" s="504"/>
      <c r="U29" s="504"/>
      <c r="V29" s="504"/>
      <c r="W29" s="504"/>
      <c r="Y29" s="186"/>
      <c r="AA29" s="186"/>
      <c r="AB29" s="187"/>
      <c r="AC29" s="187"/>
      <c r="AD29" s="187"/>
      <c r="AE29" s="187"/>
      <c r="AF29" s="187"/>
      <c r="AG29" s="186"/>
    </row>
    <row r="30" spans="2:33" s="185" customFormat="1" ht="15.5" x14ac:dyDescent="0.35">
      <c r="B30" s="180" t="s">
        <v>176</v>
      </c>
      <c r="C30" s="180">
        <v>1040</v>
      </c>
      <c r="D30" s="492"/>
      <c r="E30" s="179">
        <v>6963547</v>
      </c>
      <c r="F30" s="181">
        <v>5.506575887259757E-2</v>
      </c>
      <c r="G30" s="179">
        <v>7347000</v>
      </c>
      <c r="H30" s="182">
        <v>7.0000000000000007E-2</v>
      </c>
      <c r="I30" s="183">
        <f t="shared" si="10"/>
        <v>7861290</v>
      </c>
      <c r="J30" s="182">
        <v>0.1</v>
      </c>
      <c r="K30" s="183">
        <f t="shared" si="11"/>
        <v>8081700</v>
      </c>
      <c r="L30" s="496"/>
      <c r="M30" s="502"/>
      <c r="N30" s="509"/>
      <c r="O30" s="502"/>
      <c r="P30" s="498"/>
      <c r="Q30" s="498"/>
      <c r="R30" s="502"/>
      <c r="S30" s="498"/>
      <c r="T30" s="498"/>
      <c r="U30" s="498"/>
      <c r="V30" s="498"/>
      <c r="W30" s="498"/>
      <c r="Y30" s="186"/>
      <c r="AA30" s="186"/>
      <c r="AB30" s="187"/>
      <c r="AC30" s="187"/>
      <c r="AD30" s="187"/>
      <c r="AE30" s="187"/>
      <c r="AF30" s="187"/>
      <c r="AG30" s="186"/>
    </row>
    <row r="31" spans="2:33" s="185" customFormat="1" ht="15.5" x14ac:dyDescent="0.35">
      <c r="B31" s="180" t="s">
        <v>177</v>
      </c>
      <c r="C31" s="180">
        <v>10233</v>
      </c>
      <c r="D31" s="499">
        <v>162</v>
      </c>
      <c r="E31" s="179">
        <v>7642365</v>
      </c>
      <c r="F31" s="181">
        <v>5.5039899298188422E-2</v>
      </c>
      <c r="G31" s="179">
        <v>8063000</v>
      </c>
      <c r="H31" s="182">
        <v>7.0000000000000007E-2</v>
      </c>
      <c r="I31" s="183">
        <f t="shared" si="10"/>
        <v>8627410</v>
      </c>
      <c r="J31" s="182">
        <v>0.1</v>
      </c>
      <c r="K31" s="183">
        <f t="shared" si="11"/>
        <v>8869300</v>
      </c>
      <c r="L31" s="495">
        <v>212</v>
      </c>
      <c r="M31" s="501">
        <v>1453519400</v>
      </c>
      <c r="N31" s="507">
        <v>217</v>
      </c>
      <c r="O31" s="501">
        <v>1500674400</v>
      </c>
      <c r="P31" s="497">
        <f>+M31+O31</f>
        <v>2954193800</v>
      </c>
      <c r="Q31" s="497">
        <f>M31/(1+F31)</f>
        <v>1377691403.867171</v>
      </c>
      <c r="R31" s="497">
        <f t="shared" si="12"/>
        <v>1433487905.7237916</v>
      </c>
      <c r="S31" s="497">
        <f t="shared" si="13"/>
        <v>20031494.276208401</v>
      </c>
      <c r="T31" s="497">
        <f>O31/(1+F31)</f>
        <v>1422386396.0009923</v>
      </c>
      <c r="U31" s="497">
        <f t="shared" si="14"/>
        <v>1479993045.0390325</v>
      </c>
      <c r="V31" s="497">
        <f t="shared" si="15"/>
        <v>20681354.960967541</v>
      </c>
      <c r="W31" s="497">
        <f t="shared" si="16"/>
        <v>40712849.237175941</v>
      </c>
      <c r="Y31" s="186"/>
      <c r="AA31" s="186"/>
      <c r="AB31" s="187"/>
      <c r="AC31" s="187"/>
      <c r="AD31" s="187"/>
      <c r="AE31" s="187"/>
      <c r="AF31" s="187"/>
      <c r="AG31" s="186"/>
    </row>
    <row r="32" spans="2:33" s="185" customFormat="1" ht="15.5" x14ac:dyDescent="0.35">
      <c r="B32" s="180" t="s">
        <v>178</v>
      </c>
      <c r="C32" s="180">
        <v>10233</v>
      </c>
      <c r="D32" s="499"/>
      <c r="E32" s="179">
        <v>7263054</v>
      </c>
      <c r="F32" s="181">
        <v>5.5065816666102219E-2</v>
      </c>
      <c r="G32" s="179">
        <v>7663000</v>
      </c>
      <c r="H32" s="182">
        <v>7.0000000000000007E-2</v>
      </c>
      <c r="I32" s="183">
        <f t="shared" si="10"/>
        <v>8199410</v>
      </c>
      <c r="J32" s="182">
        <v>0.1</v>
      </c>
      <c r="K32" s="183">
        <f t="shared" si="11"/>
        <v>8429300</v>
      </c>
      <c r="L32" s="506"/>
      <c r="M32" s="503"/>
      <c r="N32" s="508"/>
      <c r="O32" s="503"/>
      <c r="P32" s="504"/>
      <c r="Q32" s="504"/>
      <c r="R32" s="504"/>
      <c r="S32" s="504"/>
      <c r="T32" s="504"/>
      <c r="U32" s="504"/>
      <c r="V32" s="504"/>
      <c r="W32" s="504"/>
      <c r="Y32" s="186"/>
      <c r="AA32" s="186"/>
      <c r="AB32" s="187"/>
      <c r="AC32" s="187"/>
      <c r="AD32" s="187"/>
      <c r="AE32" s="187"/>
      <c r="AF32" s="187"/>
      <c r="AG32" s="186"/>
    </row>
    <row r="33" spans="2:33" s="185" customFormat="1" ht="15.5" x14ac:dyDescent="0.35">
      <c r="B33" s="180" t="s">
        <v>179</v>
      </c>
      <c r="C33" s="180">
        <v>10233</v>
      </c>
      <c r="D33" s="499"/>
      <c r="E33" s="179">
        <v>6922167</v>
      </c>
      <c r="F33" s="181">
        <v>5.5016442105485286E-2</v>
      </c>
      <c r="G33" s="179">
        <v>7303000</v>
      </c>
      <c r="H33" s="182">
        <v>7.0000000000000007E-2</v>
      </c>
      <c r="I33" s="183">
        <f t="shared" si="10"/>
        <v>7814210</v>
      </c>
      <c r="J33" s="182">
        <v>0.1</v>
      </c>
      <c r="K33" s="183">
        <f t="shared" si="11"/>
        <v>8033300</v>
      </c>
      <c r="L33" s="496"/>
      <c r="M33" s="502"/>
      <c r="N33" s="509"/>
      <c r="O33" s="502"/>
      <c r="P33" s="498"/>
      <c r="Q33" s="498"/>
      <c r="R33" s="498"/>
      <c r="S33" s="498"/>
      <c r="T33" s="498"/>
      <c r="U33" s="498"/>
      <c r="V33" s="498"/>
      <c r="W33" s="498"/>
      <c r="Y33" s="186"/>
      <c r="AA33" s="186"/>
      <c r="AB33" s="187"/>
      <c r="AC33" s="187"/>
      <c r="AD33" s="187"/>
      <c r="AE33" s="187"/>
      <c r="AF33" s="187"/>
      <c r="AG33" s="186"/>
    </row>
    <row r="34" spans="2:33" s="185" customFormat="1" ht="15.5" x14ac:dyDescent="0.35">
      <c r="B34" s="180" t="s">
        <v>180</v>
      </c>
      <c r="C34" s="180">
        <v>1040</v>
      </c>
      <c r="D34" s="499">
        <v>160</v>
      </c>
      <c r="E34" s="179">
        <v>5856158</v>
      </c>
      <c r="F34" s="181">
        <v>5.5128635532033066E-2</v>
      </c>
      <c r="G34" s="179">
        <v>6179000</v>
      </c>
      <c r="H34" s="182">
        <v>7.0000000000000007E-2</v>
      </c>
      <c r="I34" s="183">
        <f t="shared" si="10"/>
        <v>6611530</v>
      </c>
      <c r="J34" s="182">
        <v>0.1</v>
      </c>
      <c r="K34" s="183">
        <f t="shared" si="11"/>
        <v>6796900</v>
      </c>
      <c r="L34" s="495">
        <v>351</v>
      </c>
      <c r="M34" s="497">
        <v>1723437600</v>
      </c>
      <c r="N34" s="495">
        <v>360</v>
      </c>
      <c r="O34" s="497">
        <v>1740072100</v>
      </c>
      <c r="P34" s="497">
        <f>+M34+O34</f>
        <v>3463509700</v>
      </c>
      <c r="Q34" s="497">
        <f>M34/(1+F34)</f>
        <v>1633390983.7742031</v>
      </c>
      <c r="R34" s="501">
        <f t="shared" si="12"/>
        <v>1699543318.6170583</v>
      </c>
      <c r="S34" s="497">
        <f t="shared" si="13"/>
        <v>23894281.382941723</v>
      </c>
      <c r="T34" s="497">
        <f>O34/(1+F34)</f>
        <v>1649156360.0893025</v>
      </c>
      <c r="U34" s="497">
        <f t="shared" si="14"/>
        <v>1715947192.6729193</v>
      </c>
      <c r="V34" s="497">
        <f t="shared" si="15"/>
        <v>24124907.327080727</v>
      </c>
      <c r="W34" s="497">
        <f t="shared" si="16"/>
        <v>48019188.710022449</v>
      </c>
      <c r="Y34" s="186"/>
      <c r="AA34" s="186"/>
      <c r="AB34" s="187"/>
      <c r="AC34" s="187"/>
      <c r="AD34" s="187"/>
      <c r="AE34" s="187"/>
      <c r="AF34" s="187"/>
      <c r="AG34" s="186"/>
    </row>
    <row r="35" spans="2:33" s="185" customFormat="1" ht="15.5" x14ac:dyDescent="0.35">
      <c r="B35" s="180" t="s">
        <v>181</v>
      </c>
      <c r="C35" s="180">
        <v>1040</v>
      </c>
      <c r="D35" s="499"/>
      <c r="E35" s="179">
        <v>5599015</v>
      </c>
      <c r="F35" s="181">
        <v>5.5006996766395533E-2</v>
      </c>
      <c r="G35" s="179">
        <v>5907000</v>
      </c>
      <c r="H35" s="182">
        <v>7.0000000000000007E-2</v>
      </c>
      <c r="I35" s="183">
        <f t="shared" si="10"/>
        <v>6320490</v>
      </c>
      <c r="J35" s="182">
        <v>0.1</v>
      </c>
      <c r="K35" s="183">
        <f t="shared" si="11"/>
        <v>6497700</v>
      </c>
      <c r="L35" s="506"/>
      <c r="M35" s="504"/>
      <c r="N35" s="506"/>
      <c r="O35" s="504"/>
      <c r="P35" s="504"/>
      <c r="Q35" s="504"/>
      <c r="R35" s="503"/>
      <c r="S35" s="504"/>
      <c r="T35" s="504"/>
      <c r="U35" s="504"/>
      <c r="V35" s="504"/>
      <c r="W35" s="504"/>
      <c r="Y35" s="186"/>
      <c r="AA35" s="186"/>
      <c r="AB35" s="187"/>
      <c r="AC35" s="187"/>
      <c r="AD35" s="187"/>
      <c r="AE35" s="187"/>
      <c r="AF35" s="187"/>
      <c r="AG35" s="186"/>
    </row>
    <row r="36" spans="2:33" s="185" customFormat="1" ht="15.5" x14ac:dyDescent="0.35">
      <c r="B36" s="180" t="s">
        <v>182</v>
      </c>
      <c r="C36" s="180">
        <v>1040</v>
      </c>
      <c r="D36" s="499"/>
      <c r="E36" s="179">
        <v>5285714</v>
      </c>
      <c r="F36" s="181">
        <v>5.5108165140981935E-2</v>
      </c>
      <c r="G36" s="179">
        <v>5577000</v>
      </c>
      <c r="H36" s="182">
        <v>7.0000000000000007E-2</v>
      </c>
      <c r="I36" s="183">
        <f t="shared" si="10"/>
        <v>5967390</v>
      </c>
      <c r="J36" s="182">
        <v>0.1</v>
      </c>
      <c r="K36" s="183">
        <f t="shared" si="11"/>
        <v>6134700</v>
      </c>
      <c r="L36" s="496"/>
      <c r="M36" s="498"/>
      <c r="N36" s="496"/>
      <c r="O36" s="498"/>
      <c r="P36" s="498"/>
      <c r="Q36" s="498"/>
      <c r="R36" s="502"/>
      <c r="S36" s="498"/>
      <c r="T36" s="498"/>
      <c r="U36" s="498"/>
      <c r="V36" s="498"/>
      <c r="W36" s="498"/>
      <c r="Y36" s="186"/>
      <c r="AA36" s="186"/>
      <c r="AB36" s="187"/>
      <c r="AC36" s="187"/>
      <c r="AD36" s="187"/>
      <c r="AE36" s="187"/>
      <c r="AF36" s="187"/>
      <c r="AG36" s="186"/>
    </row>
    <row r="37" spans="2:33" s="185" customFormat="1" ht="15.5" x14ac:dyDescent="0.35">
      <c r="B37" s="180" t="s">
        <v>183</v>
      </c>
      <c r="C37" s="180">
        <v>101827</v>
      </c>
      <c r="D37" s="492">
        <v>152</v>
      </c>
      <c r="E37" s="179">
        <v>8948768</v>
      </c>
      <c r="F37" s="181">
        <v>5.5005560541965037E-2</v>
      </c>
      <c r="G37" s="179">
        <v>9441000</v>
      </c>
      <c r="H37" s="182">
        <v>7.0000000000000007E-2</v>
      </c>
      <c r="I37" s="183">
        <f t="shared" si="10"/>
        <v>10101870</v>
      </c>
      <c r="J37" s="182">
        <v>0.1</v>
      </c>
      <c r="K37" s="183">
        <f t="shared" si="11"/>
        <v>10385100</v>
      </c>
      <c r="L37" s="495">
        <v>468</v>
      </c>
      <c r="M37" s="501">
        <v>4022156500</v>
      </c>
      <c r="N37" s="507">
        <v>449</v>
      </c>
      <c r="O37" s="501">
        <v>3869819500</v>
      </c>
      <c r="P37" s="497">
        <f>+M37+O37</f>
        <v>7891976000</v>
      </c>
      <c r="Q37" s="497">
        <f>M37/(1+F37)</f>
        <v>3812450521.9989409</v>
      </c>
      <c r="R37" s="497">
        <f t="shared" si="12"/>
        <v>3966854768.1398983</v>
      </c>
      <c r="S37" s="497">
        <f>M37-R37</f>
        <v>55301731.8601017</v>
      </c>
      <c r="T37" s="497">
        <f>O37/(1+F37)</f>
        <v>3668056022.389154</v>
      </c>
      <c r="U37" s="497">
        <f t="shared" si="14"/>
        <v>3816612291.2959146</v>
      </c>
      <c r="V37" s="497">
        <f>O37-U37</f>
        <v>53207208.70408535</v>
      </c>
      <c r="W37" s="497">
        <f t="shared" si="16"/>
        <v>108508940.56418705</v>
      </c>
      <c r="Y37" s="186"/>
      <c r="AA37" s="186"/>
      <c r="AB37" s="187"/>
      <c r="AC37" s="187"/>
      <c r="AD37" s="187"/>
      <c r="AE37" s="187"/>
      <c r="AF37" s="187"/>
      <c r="AG37" s="186"/>
    </row>
    <row r="38" spans="2:33" s="185" customFormat="1" ht="15.5" x14ac:dyDescent="0.35">
      <c r="B38" s="180" t="s">
        <v>184</v>
      </c>
      <c r="C38" s="180">
        <v>101827</v>
      </c>
      <c r="D38" s="492"/>
      <c r="E38" s="179">
        <v>8391133</v>
      </c>
      <c r="F38" s="181">
        <v>5.5042269023741985E-2</v>
      </c>
      <c r="G38" s="179">
        <v>8853000</v>
      </c>
      <c r="H38" s="182">
        <v>7.0000000000000007E-2</v>
      </c>
      <c r="I38" s="183">
        <f t="shared" si="10"/>
        <v>9472710</v>
      </c>
      <c r="J38" s="182">
        <v>0.1</v>
      </c>
      <c r="K38" s="183">
        <f t="shared" si="11"/>
        <v>9738300</v>
      </c>
      <c r="L38" s="496"/>
      <c r="M38" s="502"/>
      <c r="N38" s="509"/>
      <c r="O38" s="502"/>
      <c r="P38" s="498"/>
      <c r="Q38" s="498"/>
      <c r="R38" s="498"/>
      <c r="S38" s="498"/>
      <c r="T38" s="498"/>
      <c r="U38" s="498"/>
      <c r="V38" s="498"/>
      <c r="W38" s="498"/>
      <c r="Y38" s="186"/>
      <c r="AA38" s="186"/>
      <c r="AB38" s="187"/>
      <c r="AC38" s="187"/>
      <c r="AD38" s="187"/>
      <c r="AE38" s="187"/>
      <c r="AF38" s="187"/>
      <c r="AG38" s="186"/>
    </row>
    <row r="39" spans="2:33" ht="12.5" x14ac:dyDescent="0.25">
      <c r="B39" s="62" t="s">
        <v>37</v>
      </c>
      <c r="C39" s="62"/>
      <c r="D39" s="115"/>
      <c r="E39" s="158"/>
      <c r="F39" s="168"/>
      <c r="G39" s="159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Y39" s="124"/>
      <c r="AA39" s="124"/>
      <c r="AB39" s="123"/>
      <c r="AC39" s="123"/>
      <c r="AD39" s="123"/>
      <c r="AE39" s="123"/>
      <c r="AF39" s="123"/>
      <c r="AG39" s="124"/>
    </row>
    <row r="40" spans="2:33" s="185" customFormat="1" ht="15.5" x14ac:dyDescent="0.35">
      <c r="B40" s="180" t="s">
        <v>185</v>
      </c>
      <c r="C40" s="180">
        <v>1039</v>
      </c>
      <c r="D40" s="492">
        <v>171</v>
      </c>
      <c r="E40" s="179">
        <v>6729064</v>
      </c>
      <c r="F40" s="181">
        <v>5.5124457131036309E-2</v>
      </c>
      <c r="G40" s="179">
        <v>7100000</v>
      </c>
      <c r="H40" s="182">
        <v>7.0000000000000007E-2</v>
      </c>
      <c r="I40" s="183">
        <f t="shared" ref="I40:I51" si="17">+(G40*H40)+G40</f>
        <v>7597000</v>
      </c>
      <c r="J40" s="182">
        <v>0.1</v>
      </c>
      <c r="K40" s="183">
        <f t="shared" ref="K40:K51" si="18">+(G40*J40)+G40</f>
        <v>7810000</v>
      </c>
      <c r="L40" s="495">
        <v>532</v>
      </c>
      <c r="M40" s="501">
        <v>3258406000</v>
      </c>
      <c r="N40" s="507">
        <v>543</v>
      </c>
      <c r="O40" s="501">
        <v>3363501000</v>
      </c>
      <c r="P40" s="497">
        <f>+M40+O40</f>
        <v>6621907000</v>
      </c>
      <c r="Q40" s="497">
        <f>M40/(1+F40)</f>
        <v>3088172184.786479</v>
      </c>
      <c r="R40" s="497">
        <f t="shared" ref="R40:R45" si="19">($Q40*$R$10)+$Q40</f>
        <v>3213243158.2703314</v>
      </c>
      <c r="S40" s="497">
        <f t="shared" ref="S40:S46" si="20">M40-R40</f>
        <v>45162841.729668617</v>
      </c>
      <c r="T40" s="497">
        <f>O40/(1+F40)</f>
        <v>3187776548.3188734</v>
      </c>
      <c r="U40" s="497">
        <f t="shared" ref="U40:U49" si="21">($T40*$U$10)+$T40</f>
        <v>3316881498.5257878</v>
      </c>
      <c r="V40" s="497">
        <f t="shared" ref="V40:V45" si="22">O40-U40</f>
        <v>46619501.47421217</v>
      </c>
      <c r="W40" s="497">
        <f t="shared" ref="W40:W49" si="23">S40+V40</f>
        <v>91782343.203880787</v>
      </c>
      <c r="Y40" s="186"/>
      <c r="AA40" s="186"/>
      <c r="AB40" s="187"/>
      <c r="AC40" s="187"/>
      <c r="AD40" s="187"/>
      <c r="AE40" s="187"/>
      <c r="AF40" s="187"/>
      <c r="AG40" s="186"/>
    </row>
    <row r="41" spans="2:33" s="185" customFormat="1" ht="15.5" x14ac:dyDescent="0.35">
      <c r="B41" s="180" t="s">
        <v>186</v>
      </c>
      <c r="C41" s="180">
        <v>1039</v>
      </c>
      <c r="D41" s="492"/>
      <c r="E41" s="179">
        <v>6378325</v>
      </c>
      <c r="F41" s="181">
        <v>5.5135948701265702E-2</v>
      </c>
      <c r="G41" s="179">
        <v>6730000</v>
      </c>
      <c r="H41" s="182">
        <v>7.0000000000000007E-2</v>
      </c>
      <c r="I41" s="183">
        <f t="shared" si="17"/>
        <v>7201100</v>
      </c>
      <c r="J41" s="182">
        <v>0.1</v>
      </c>
      <c r="K41" s="183">
        <f t="shared" si="18"/>
        <v>7403000</v>
      </c>
      <c r="L41" s="496"/>
      <c r="M41" s="502"/>
      <c r="N41" s="509"/>
      <c r="O41" s="502"/>
      <c r="P41" s="498"/>
      <c r="Q41" s="498"/>
      <c r="R41" s="498"/>
      <c r="S41" s="498"/>
      <c r="T41" s="498"/>
      <c r="U41" s="498"/>
      <c r="V41" s="498"/>
      <c r="W41" s="498"/>
      <c r="Y41" s="186"/>
      <c r="AA41" s="186"/>
      <c r="AB41" s="187"/>
      <c r="AC41" s="187"/>
      <c r="AD41" s="187"/>
      <c r="AE41" s="187"/>
      <c r="AF41" s="187"/>
      <c r="AG41" s="186"/>
    </row>
    <row r="42" spans="2:33" s="185" customFormat="1" ht="15.5" x14ac:dyDescent="0.35">
      <c r="B42" s="180" t="s">
        <v>187</v>
      </c>
      <c r="C42" s="180">
        <v>10213</v>
      </c>
      <c r="D42" s="499">
        <v>192</v>
      </c>
      <c r="E42" s="179">
        <v>7801970</v>
      </c>
      <c r="F42" s="181">
        <v>5.5118130420906519E-2</v>
      </c>
      <c r="G42" s="179">
        <v>8232000</v>
      </c>
      <c r="H42" s="182">
        <v>7.0000000000000007E-2</v>
      </c>
      <c r="I42" s="183">
        <f t="shared" si="17"/>
        <v>8808240</v>
      </c>
      <c r="J42" s="182">
        <v>0.1</v>
      </c>
      <c r="K42" s="183">
        <f t="shared" si="18"/>
        <v>9055200</v>
      </c>
      <c r="L42" s="495">
        <v>746</v>
      </c>
      <c r="M42" s="501">
        <v>5303302000</v>
      </c>
      <c r="N42" s="507">
        <v>781</v>
      </c>
      <c r="O42" s="501">
        <v>5569726000</v>
      </c>
      <c r="P42" s="497">
        <f>+M42+O42</f>
        <v>10873028000</v>
      </c>
      <c r="Q42" s="497">
        <f>M42/(1+F42)</f>
        <v>5026263739.6671524</v>
      </c>
      <c r="R42" s="497">
        <f t="shared" si="19"/>
        <v>5229827421.1236725</v>
      </c>
      <c r="S42" s="497">
        <f t="shared" si="20"/>
        <v>73474578.876327515</v>
      </c>
      <c r="T42" s="497">
        <f>O42/(1+F42)</f>
        <v>5278770063.194849</v>
      </c>
      <c r="U42" s="497">
        <f t="shared" si="21"/>
        <v>5492560250.75424</v>
      </c>
      <c r="V42" s="497">
        <f t="shared" si="22"/>
        <v>77165749.245759964</v>
      </c>
      <c r="W42" s="497">
        <f t="shared" si="23"/>
        <v>150640328.12208748</v>
      </c>
      <c r="Y42" s="186"/>
      <c r="AA42" s="186"/>
      <c r="AB42" s="187"/>
      <c r="AC42" s="187"/>
      <c r="AD42" s="187"/>
      <c r="AE42" s="187"/>
      <c r="AF42" s="187"/>
      <c r="AG42" s="186"/>
    </row>
    <row r="43" spans="2:33" s="185" customFormat="1" ht="15.5" x14ac:dyDescent="0.35">
      <c r="B43" s="180" t="s">
        <v>188</v>
      </c>
      <c r="C43" s="180">
        <v>10213</v>
      </c>
      <c r="D43" s="499"/>
      <c r="E43" s="179">
        <v>7395074</v>
      </c>
      <c r="F43" s="181">
        <v>5.502662988903162E-2</v>
      </c>
      <c r="G43" s="179">
        <v>7802000</v>
      </c>
      <c r="H43" s="182">
        <v>7.0000000000000007E-2</v>
      </c>
      <c r="I43" s="183">
        <f t="shared" si="17"/>
        <v>8348140</v>
      </c>
      <c r="J43" s="182">
        <v>0.1</v>
      </c>
      <c r="K43" s="183">
        <f t="shared" si="18"/>
        <v>8582200</v>
      </c>
      <c r="L43" s="506"/>
      <c r="M43" s="503"/>
      <c r="N43" s="508"/>
      <c r="O43" s="503"/>
      <c r="P43" s="504"/>
      <c r="Q43" s="504"/>
      <c r="R43" s="504"/>
      <c r="S43" s="504"/>
      <c r="T43" s="504"/>
      <c r="U43" s="504"/>
      <c r="V43" s="504"/>
      <c r="W43" s="504"/>
      <c r="Y43" s="186"/>
      <c r="AA43" s="186"/>
      <c r="AB43" s="187"/>
      <c r="AC43" s="187"/>
      <c r="AD43" s="187"/>
      <c r="AE43" s="187"/>
      <c r="AF43" s="187"/>
      <c r="AG43" s="186"/>
    </row>
    <row r="44" spans="2:33" s="185" customFormat="1" ht="15.5" x14ac:dyDescent="0.35">
      <c r="B44" s="180" t="s">
        <v>189</v>
      </c>
      <c r="C44" s="180">
        <v>10213</v>
      </c>
      <c r="D44" s="499"/>
      <c r="E44" s="179">
        <v>6501478</v>
      </c>
      <c r="F44" s="181">
        <v>5.51446917147147E-2</v>
      </c>
      <c r="G44" s="179">
        <v>6860000</v>
      </c>
      <c r="H44" s="182">
        <v>7.0000000000000007E-2</v>
      </c>
      <c r="I44" s="183">
        <f t="shared" si="17"/>
        <v>7340200</v>
      </c>
      <c r="J44" s="182">
        <v>0.1</v>
      </c>
      <c r="K44" s="183">
        <f t="shared" si="18"/>
        <v>7546000</v>
      </c>
      <c r="L44" s="496"/>
      <c r="M44" s="502"/>
      <c r="N44" s="509"/>
      <c r="O44" s="502"/>
      <c r="P44" s="498"/>
      <c r="Q44" s="498"/>
      <c r="R44" s="498"/>
      <c r="S44" s="498"/>
      <c r="T44" s="498"/>
      <c r="U44" s="498"/>
      <c r="V44" s="498"/>
      <c r="W44" s="498"/>
      <c r="Y44" s="186"/>
      <c r="AA44" s="186"/>
      <c r="AB44" s="187"/>
      <c r="AC44" s="187"/>
      <c r="AD44" s="187"/>
      <c r="AE44" s="187"/>
      <c r="AF44" s="187"/>
      <c r="AG44" s="186"/>
    </row>
    <row r="45" spans="2:33" s="185" customFormat="1" ht="15.5" x14ac:dyDescent="0.35">
      <c r="B45" s="180" t="s">
        <v>147</v>
      </c>
      <c r="C45" s="180">
        <v>11648</v>
      </c>
      <c r="D45" s="267">
        <v>162</v>
      </c>
      <c r="E45" s="179">
        <v>5903448</v>
      </c>
      <c r="F45" s="181">
        <v>5.5146077343274591E-2</v>
      </c>
      <c r="G45" s="179">
        <v>6229000</v>
      </c>
      <c r="H45" s="182">
        <v>7.0000000000000007E-2</v>
      </c>
      <c r="I45" s="183">
        <f t="shared" si="17"/>
        <v>6665030</v>
      </c>
      <c r="J45" s="182">
        <v>0.1</v>
      </c>
      <c r="K45" s="183">
        <f t="shared" si="18"/>
        <v>6851900</v>
      </c>
      <c r="L45" s="193">
        <v>205</v>
      </c>
      <c r="M45" s="234">
        <v>1182867200</v>
      </c>
      <c r="N45" s="235">
        <v>215</v>
      </c>
      <c r="O45" s="236">
        <v>1231551100</v>
      </c>
      <c r="P45" s="194">
        <f t="shared" ref="P45:P49" si="24">+M45+O45</f>
        <v>2414418300</v>
      </c>
      <c r="Q45" s="194">
        <f t="shared" ref="Q45:Q50" si="25">M45/(1+F45)</f>
        <v>1121045915.2521431</v>
      </c>
      <c r="R45" s="194">
        <f t="shared" si="19"/>
        <v>1166448274.819855</v>
      </c>
      <c r="S45" s="194">
        <f t="shared" si="20"/>
        <v>16418925.180145025</v>
      </c>
      <c r="T45" s="194">
        <f t="shared" ref="T45:T50" si="26">O45/(1+F45)</f>
        <v>1167185403.4664955</v>
      </c>
      <c r="U45" s="194">
        <f t="shared" si="21"/>
        <v>1214456412.3068886</v>
      </c>
      <c r="V45" s="194">
        <f t="shared" si="22"/>
        <v>17094687.69311142</v>
      </c>
      <c r="W45" s="194">
        <f t="shared" si="23"/>
        <v>33513612.873256445</v>
      </c>
      <c r="Y45" s="186"/>
      <c r="AA45" s="186"/>
      <c r="AB45" s="187"/>
      <c r="AC45" s="187"/>
      <c r="AD45" s="187"/>
      <c r="AE45" s="187"/>
      <c r="AF45" s="187"/>
      <c r="AG45" s="186"/>
    </row>
    <row r="46" spans="2:33" s="185" customFormat="1" ht="15.5" x14ac:dyDescent="0.35">
      <c r="B46" s="180" t="s">
        <v>148</v>
      </c>
      <c r="C46" s="180">
        <v>15808</v>
      </c>
      <c r="D46" s="267">
        <v>162</v>
      </c>
      <c r="E46" s="179">
        <v>6880788</v>
      </c>
      <c r="F46" s="181">
        <v>5.5111711042397982E-2</v>
      </c>
      <c r="G46" s="179">
        <v>7260000</v>
      </c>
      <c r="H46" s="182">
        <v>7.0000000000000007E-2</v>
      </c>
      <c r="I46" s="183">
        <f t="shared" si="17"/>
        <v>7768200</v>
      </c>
      <c r="J46" s="182">
        <v>0.1</v>
      </c>
      <c r="K46" s="183">
        <f t="shared" si="18"/>
        <v>7986000</v>
      </c>
      <c r="L46" s="195">
        <v>251</v>
      </c>
      <c r="M46" s="234">
        <v>1640620000</v>
      </c>
      <c r="N46" s="237">
        <v>234</v>
      </c>
      <c r="O46" s="236">
        <v>1522350000</v>
      </c>
      <c r="P46" s="194">
        <f t="shared" si="24"/>
        <v>3162970000</v>
      </c>
      <c r="Q46" s="194">
        <f t="shared" si="25"/>
        <v>1554925400.6280992</v>
      </c>
      <c r="R46" s="194">
        <f>($Q46*$R$10)+$Q46</f>
        <v>1617899879.3535373</v>
      </c>
      <c r="S46" s="194">
        <f t="shared" si="20"/>
        <v>22720120.646462679</v>
      </c>
      <c r="T46" s="194">
        <f t="shared" si="26"/>
        <v>1442833004.3801653</v>
      </c>
      <c r="U46" s="194">
        <f t="shared" si="21"/>
        <v>1501267741.0575621</v>
      </c>
      <c r="V46" s="194">
        <f>O46-U46</f>
        <v>21082258.942437887</v>
      </c>
      <c r="W46" s="194">
        <f t="shared" si="23"/>
        <v>43802379.588900566</v>
      </c>
      <c r="Y46" s="186"/>
      <c r="AA46" s="186"/>
      <c r="AB46" s="187"/>
      <c r="AC46" s="187"/>
      <c r="AD46" s="187"/>
      <c r="AE46" s="187"/>
      <c r="AF46" s="187"/>
      <c r="AG46" s="186"/>
    </row>
    <row r="47" spans="2:33" s="185" customFormat="1" ht="15.5" x14ac:dyDescent="0.35">
      <c r="B47" s="180" t="s">
        <v>149</v>
      </c>
      <c r="C47" s="180">
        <v>53296</v>
      </c>
      <c r="D47" s="267">
        <v>144</v>
      </c>
      <c r="E47" s="179">
        <v>7288670</v>
      </c>
      <c r="F47" s="181">
        <v>5.5062171836562701E-2</v>
      </c>
      <c r="G47" s="179">
        <v>7690000</v>
      </c>
      <c r="H47" s="182">
        <v>7.0000000000000007E-2</v>
      </c>
      <c r="I47" s="183">
        <f t="shared" si="17"/>
        <v>8228300</v>
      </c>
      <c r="J47" s="182">
        <v>0.1</v>
      </c>
      <c r="K47" s="183">
        <f t="shared" si="18"/>
        <v>8459000</v>
      </c>
      <c r="L47" s="193">
        <v>243</v>
      </c>
      <c r="M47" s="234">
        <v>1650879000</v>
      </c>
      <c r="N47" s="235">
        <v>246</v>
      </c>
      <c r="O47" s="236">
        <v>1677937000</v>
      </c>
      <c r="P47" s="194">
        <f t="shared" si="24"/>
        <v>3328816000</v>
      </c>
      <c r="Q47" s="194">
        <f t="shared" si="25"/>
        <v>1564722007.9232771</v>
      </c>
      <c r="R47" s="194">
        <f t="shared" ref="R47:R49" si="27">($Q47*$R$10)+$Q47</f>
        <v>1628093249.24417</v>
      </c>
      <c r="S47" s="194">
        <f>M47-R47</f>
        <v>22785750.75583005</v>
      </c>
      <c r="T47" s="194">
        <f t="shared" si="26"/>
        <v>1590367889.9596879</v>
      </c>
      <c r="U47" s="194">
        <f t="shared" si="21"/>
        <v>1654777789.5030553</v>
      </c>
      <c r="V47" s="194">
        <f t="shared" ref="V47:V49" si="28">O47-U47</f>
        <v>23159210.496944666</v>
      </c>
      <c r="W47" s="194">
        <f t="shared" si="23"/>
        <v>45944961.252774715</v>
      </c>
      <c r="Y47" s="186"/>
      <c r="AA47" s="186"/>
      <c r="AB47" s="187"/>
      <c r="AC47" s="187"/>
      <c r="AD47" s="187"/>
      <c r="AE47" s="187"/>
      <c r="AF47" s="187"/>
      <c r="AG47" s="186"/>
    </row>
    <row r="48" spans="2:33" s="185" customFormat="1" ht="15.5" x14ac:dyDescent="0.35">
      <c r="B48" s="180" t="s">
        <v>150</v>
      </c>
      <c r="C48" s="180">
        <v>53475</v>
      </c>
      <c r="D48" s="267">
        <v>144</v>
      </c>
      <c r="E48" s="179">
        <v>6480788</v>
      </c>
      <c r="F48" s="181">
        <v>5.5118605947301447E-2</v>
      </c>
      <c r="G48" s="179">
        <v>6838000</v>
      </c>
      <c r="H48" s="182">
        <v>7.0000000000000007E-2</v>
      </c>
      <c r="I48" s="183">
        <f t="shared" si="17"/>
        <v>7316660</v>
      </c>
      <c r="J48" s="182">
        <v>0.1</v>
      </c>
      <c r="K48" s="183">
        <f t="shared" si="18"/>
        <v>7521800</v>
      </c>
      <c r="L48" s="195">
        <v>144</v>
      </c>
      <c r="M48" s="234">
        <v>837212600</v>
      </c>
      <c r="N48" s="237">
        <v>138</v>
      </c>
      <c r="O48" s="236">
        <v>813595800</v>
      </c>
      <c r="P48" s="194">
        <f t="shared" si="24"/>
        <v>1650808400</v>
      </c>
      <c r="Q48" s="194">
        <f t="shared" si="25"/>
        <v>793477240.64475</v>
      </c>
      <c r="R48" s="194">
        <f t="shared" si="27"/>
        <v>825613068.89086235</v>
      </c>
      <c r="S48" s="194">
        <f t="shared" ref="S48:S49" si="29">M48-R48</f>
        <v>11599531.109137654</v>
      </c>
      <c r="T48" s="194">
        <f t="shared" si="26"/>
        <v>771094164.59350693</v>
      </c>
      <c r="U48" s="194">
        <f t="shared" si="21"/>
        <v>802323478.25954401</v>
      </c>
      <c r="V48" s="194">
        <f t="shared" si="28"/>
        <v>11272321.740455985</v>
      </c>
      <c r="W48" s="194">
        <f t="shared" si="23"/>
        <v>22871852.849593639</v>
      </c>
      <c r="Y48" s="186"/>
      <c r="AA48" s="186"/>
      <c r="AB48" s="187"/>
      <c r="AC48" s="187"/>
      <c r="AD48" s="187"/>
      <c r="AE48" s="187"/>
      <c r="AF48" s="187"/>
      <c r="AG48" s="186"/>
    </row>
    <row r="49" spans="1:33" s="185" customFormat="1" ht="15.5" x14ac:dyDescent="0.35">
      <c r="B49" s="180" t="s">
        <v>151</v>
      </c>
      <c r="C49" s="180">
        <v>54163</v>
      </c>
      <c r="D49" s="267">
        <v>148</v>
      </c>
      <c r="E49" s="179">
        <v>4201970</v>
      </c>
      <c r="F49" s="181">
        <v>5.5219337596413176E-2</v>
      </c>
      <c r="G49" s="179">
        <v>4434000</v>
      </c>
      <c r="H49" s="182">
        <v>7.0000000000000007E-2</v>
      </c>
      <c r="I49" s="183">
        <f t="shared" si="17"/>
        <v>4744380</v>
      </c>
      <c r="J49" s="182">
        <v>0.1</v>
      </c>
      <c r="K49" s="183">
        <f t="shared" si="18"/>
        <v>4877400</v>
      </c>
      <c r="L49" s="193">
        <v>31</v>
      </c>
      <c r="M49" s="234">
        <v>105387800</v>
      </c>
      <c r="N49" s="235">
        <v>32</v>
      </c>
      <c r="O49" s="236">
        <v>107161400</v>
      </c>
      <c r="P49" s="194">
        <f t="shared" si="24"/>
        <v>212549200</v>
      </c>
      <c r="Q49" s="194">
        <f t="shared" si="25"/>
        <v>99872885.423094273</v>
      </c>
      <c r="R49" s="194">
        <f t="shared" si="27"/>
        <v>103917737.2827296</v>
      </c>
      <c r="S49" s="194">
        <f t="shared" si="29"/>
        <v>1470062.7172704041</v>
      </c>
      <c r="T49" s="194">
        <f t="shared" si="26"/>
        <v>101553673.42309427</v>
      </c>
      <c r="U49" s="194">
        <f t="shared" si="21"/>
        <v>105666597.19672959</v>
      </c>
      <c r="V49" s="194">
        <f t="shared" si="28"/>
        <v>1494802.8032704145</v>
      </c>
      <c r="W49" s="194">
        <f t="shared" si="23"/>
        <v>2964865.5205408186</v>
      </c>
      <c r="Y49" s="186"/>
      <c r="AA49" s="186"/>
      <c r="AB49" s="187"/>
      <c r="AC49" s="187"/>
      <c r="AD49" s="187"/>
      <c r="AE49" s="187"/>
      <c r="AF49" s="187"/>
      <c r="AG49" s="186"/>
    </row>
    <row r="50" spans="1:33" s="185" customFormat="1" ht="15.5" x14ac:dyDescent="0.35">
      <c r="B50" s="180" t="s">
        <v>190</v>
      </c>
      <c r="C50" s="180">
        <v>90368</v>
      </c>
      <c r="D50" s="499">
        <v>162</v>
      </c>
      <c r="E50" s="179">
        <v>6659113</v>
      </c>
      <c r="F50" s="181">
        <v>5.5095475929001436E-2</v>
      </c>
      <c r="G50" s="179">
        <v>7026000</v>
      </c>
      <c r="H50" s="182">
        <v>7.0000000000000007E-2</v>
      </c>
      <c r="I50" s="183">
        <f t="shared" si="17"/>
        <v>7517820</v>
      </c>
      <c r="J50" s="182">
        <v>0.1</v>
      </c>
      <c r="K50" s="183">
        <f t="shared" si="18"/>
        <v>7728600</v>
      </c>
      <c r="L50" s="495">
        <v>358</v>
      </c>
      <c r="M50" s="501">
        <v>2276180400</v>
      </c>
      <c r="N50" s="507">
        <v>374</v>
      </c>
      <c r="O50" s="501">
        <v>2390108400</v>
      </c>
      <c r="P50" s="497">
        <f>+M50+O50</f>
        <v>4666288800</v>
      </c>
      <c r="Q50" s="497">
        <f t="shared" si="25"/>
        <v>2157321732.4203243</v>
      </c>
      <c r="R50" s="497">
        <f>($Q50*$R$10)+$Q50</f>
        <v>2244693262.5833473</v>
      </c>
      <c r="S50" s="497">
        <f>M50-R50</f>
        <v>31487137.416652679</v>
      </c>
      <c r="T50" s="497">
        <f t="shared" si="26"/>
        <v>2265300586.0872755</v>
      </c>
      <c r="U50" s="497">
        <f>($T50*$U$10)+$T50</f>
        <v>2357045259.8238101</v>
      </c>
      <c r="V50" s="497">
        <f>O50-U50</f>
        <v>33063140.176189899</v>
      </c>
      <c r="W50" s="497">
        <f>S50+V50</f>
        <v>64550277.592842579</v>
      </c>
      <c r="Y50" s="186"/>
      <c r="AA50" s="186"/>
      <c r="AB50" s="187"/>
      <c r="AC50" s="187"/>
      <c r="AD50" s="187"/>
      <c r="AE50" s="187"/>
      <c r="AF50" s="187"/>
      <c r="AG50" s="186"/>
    </row>
    <row r="51" spans="1:33" s="185" customFormat="1" ht="15.5" x14ac:dyDescent="0.35">
      <c r="B51" s="180" t="s">
        <v>191</v>
      </c>
      <c r="C51" s="180">
        <v>90368</v>
      </c>
      <c r="D51" s="499"/>
      <c r="E51" s="179">
        <v>6480788</v>
      </c>
      <c r="F51" s="181">
        <v>5.5118605947301447E-2</v>
      </c>
      <c r="G51" s="179">
        <v>6838000</v>
      </c>
      <c r="H51" s="182">
        <v>7.0000000000000007E-2</v>
      </c>
      <c r="I51" s="183">
        <f t="shared" si="17"/>
        <v>7316660</v>
      </c>
      <c r="J51" s="182">
        <v>0.1</v>
      </c>
      <c r="K51" s="183">
        <f t="shared" si="18"/>
        <v>7521800</v>
      </c>
      <c r="L51" s="496"/>
      <c r="M51" s="502"/>
      <c r="N51" s="509"/>
      <c r="O51" s="502"/>
      <c r="P51" s="498"/>
      <c r="Q51" s="498"/>
      <c r="R51" s="498"/>
      <c r="S51" s="498"/>
      <c r="T51" s="498"/>
      <c r="U51" s="498"/>
      <c r="V51" s="498"/>
      <c r="W51" s="498"/>
      <c r="Y51" s="186"/>
      <c r="AA51" s="186"/>
      <c r="AB51" s="187"/>
      <c r="AC51" s="187"/>
      <c r="AD51" s="187"/>
      <c r="AE51" s="187"/>
      <c r="AF51" s="187"/>
      <c r="AG51" s="186"/>
    </row>
    <row r="52" spans="1:33" ht="12.75" customHeight="1" x14ac:dyDescent="0.25">
      <c r="B52" s="135" t="s">
        <v>38</v>
      </c>
      <c r="C52" s="135"/>
      <c r="D52" s="136"/>
      <c r="E52" s="160"/>
      <c r="F52" s="160"/>
      <c r="G52" s="159"/>
      <c r="H52" s="137"/>
      <c r="I52" s="137"/>
      <c r="J52" s="137"/>
      <c r="K52" s="137"/>
      <c r="L52" s="140"/>
      <c r="M52" s="78"/>
      <c r="N52" s="78"/>
      <c r="O52" s="78"/>
      <c r="P52" s="75"/>
      <c r="Q52" s="75"/>
      <c r="R52" s="75"/>
      <c r="S52" s="75"/>
      <c r="T52" s="75"/>
      <c r="U52" s="75"/>
      <c r="V52" s="75"/>
      <c r="W52" s="75"/>
      <c r="Y52" s="124"/>
      <c r="AA52" s="124"/>
      <c r="AB52" s="123"/>
      <c r="AC52" s="123"/>
      <c r="AD52" s="123"/>
      <c r="AE52" s="123"/>
      <c r="AF52" s="123"/>
      <c r="AG52" s="124"/>
    </row>
    <row r="53" spans="1:33" s="185" customFormat="1" ht="12.75" customHeight="1" x14ac:dyDescent="0.35">
      <c r="B53" s="238" t="s">
        <v>192</v>
      </c>
      <c r="C53" s="239">
        <v>54936</v>
      </c>
      <c r="D53" s="499">
        <v>300</v>
      </c>
      <c r="E53" s="240">
        <v>14145813</v>
      </c>
      <c r="F53" s="181">
        <f t="shared" ref="F53:F56" si="30">(+G53/E53)-1</f>
        <v>5.5011825760739264E-2</v>
      </c>
      <c r="G53" s="240">
        <v>14924000</v>
      </c>
      <c r="H53" s="182">
        <v>7.0000000000000007E-2</v>
      </c>
      <c r="I53" s="183">
        <f>+(G53*H53)+G53</f>
        <v>15968680</v>
      </c>
      <c r="J53" s="182">
        <v>0.1</v>
      </c>
      <c r="K53" s="183">
        <f>+(G53*J53)+G53</f>
        <v>16416400</v>
      </c>
      <c r="L53" s="495">
        <v>755</v>
      </c>
      <c r="M53" s="501">
        <v>10291942500</v>
      </c>
      <c r="N53" s="507">
        <v>765</v>
      </c>
      <c r="O53" s="501">
        <v>10512370000</v>
      </c>
      <c r="P53" s="497">
        <f>+M53+O53</f>
        <v>20804312500</v>
      </c>
      <c r="Q53" s="497">
        <f>M53/(1+F53)</f>
        <v>9755286385.1348495</v>
      </c>
      <c r="R53" s="497">
        <f>($Q53*$R$10)+$Q53</f>
        <v>10150375483.732811</v>
      </c>
      <c r="S53" s="497">
        <f>M53-R53</f>
        <v>141567016.26718903</v>
      </c>
      <c r="T53" s="497">
        <f>O53/(1+F53)</f>
        <v>9964220062.101984</v>
      </c>
      <c r="U53" s="497">
        <f>($T53*$U$10)+$T53</f>
        <v>10367770974.617115</v>
      </c>
      <c r="V53" s="497">
        <f>O53-U53</f>
        <v>144599025.38288498</v>
      </c>
      <c r="W53" s="497">
        <f>S53+V53</f>
        <v>286166041.65007401</v>
      </c>
      <c r="Y53" s="186"/>
      <c r="AA53" s="186"/>
      <c r="AB53" s="187"/>
      <c r="AC53" s="187"/>
      <c r="AD53" s="187"/>
      <c r="AE53" s="187"/>
      <c r="AF53" s="187"/>
      <c r="AG53" s="186"/>
    </row>
    <row r="54" spans="1:33" s="185" customFormat="1" ht="12.75" customHeight="1" x14ac:dyDescent="0.35">
      <c r="B54" s="238" t="s">
        <v>193</v>
      </c>
      <c r="C54" s="239">
        <v>54936</v>
      </c>
      <c r="D54" s="499"/>
      <c r="E54" s="240">
        <v>13066010</v>
      </c>
      <c r="F54" s="181">
        <f t="shared" si="30"/>
        <v>5.5027510311104866E-2</v>
      </c>
      <c r="G54" s="240">
        <v>13785000</v>
      </c>
      <c r="H54" s="182">
        <v>7.0000000000000007E-2</v>
      </c>
      <c r="I54" s="183">
        <f>+(G54*H54)+G54</f>
        <v>14749950</v>
      </c>
      <c r="J54" s="182">
        <v>0.1</v>
      </c>
      <c r="K54" s="183">
        <f>+(G54*J54)+G54</f>
        <v>15163500</v>
      </c>
      <c r="L54" s="496"/>
      <c r="M54" s="502"/>
      <c r="N54" s="509"/>
      <c r="O54" s="502"/>
      <c r="P54" s="498"/>
      <c r="Q54" s="498"/>
      <c r="R54" s="498"/>
      <c r="S54" s="498"/>
      <c r="T54" s="498"/>
      <c r="U54" s="498"/>
      <c r="V54" s="498"/>
      <c r="W54" s="498"/>
      <c r="Y54" s="186"/>
      <c r="AA54" s="186"/>
      <c r="AB54" s="187"/>
      <c r="AC54" s="187"/>
      <c r="AD54" s="187"/>
      <c r="AE54" s="187"/>
      <c r="AF54" s="187"/>
      <c r="AG54" s="186"/>
    </row>
    <row r="55" spans="1:33" s="185" customFormat="1" ht="12.75" customHeight="1" x14ac:dyDescent="0.35">
      <c r="B55" s="238" t="s">
        <v>152</v>
      </c>
      <c r="C55" s="241">
        <v>106123</v>
      </c>
      <c r="D55" s="242">
        <v>160</v>
      </c>
      <c r="E55" s="240">
        <v>5700493</v>
      </c>
      <c r="F55" s="181">
        <f t="shared" si="30"/>
        <v>5.5171894781732123E-2</v>
      </c>
      <c r="G55" s="240">
        <v>6015000</v>
      </c>
      <c r="H55" s="182">
        <v>7.0000000000000007E-2</v>
      </c>
      <c r="I55" s="183">
        <f>+(G55*H55)+G55</f>
        <v>6436050</v>
      </c>
      <c r="J55" s="182">
        <v>0.1</v>
      </c>
      <c r="K55" s="183">
        <f>+(G55*J55)+G55</f>
        <v>6616500</v>
      </c>
      <c r="L55" s="195">
        <v>52</v>
      </c>
      <c r="M55" s="234">
        <v>297742500</v>
      </c>
      <c r="N55" s="237">
        <v>74</v>
      </c>
      <c r="O55" s="236">
        <v>415035000</v>
      </c>
      <c r="P55" s="194">
        <f>+M55+O55</f>
        <v>712777500</v>
      </c>
      <c r="Q55" s="194">
        <f>M55/(1+F55)</f>
        <v>282174403.5</v>
      </c>
      <c r="R55" s="194">
        <f t="shared" ref="R55" si="31">($Q55*$R$10)+$Q55</f>
        <v>293602466.84175003</v>
      </c>
      <c r="S55" s="194">
        <f t="shared" ref="S55" si="32">M55-R55</f>
        <v>4140033.1582499743</v>
      </c>
      <c r="T55" s="194">
        <f>O55/(1+F55)</f>
        <v>393334016.99999994</v>
      </c>
      <c r="U55" s="194">
        <f t="shared" ref="U55" si="33">($T55*$U$10)+$T55</f>
        <v>409264044.68849993</v>
      </c>
      <c r="V55" s="194">
        <f t="shared" ref="V55" si="34">O55-U55</f>
        <v>5770955.3115000725</v>
      </c>
      <c r="W55" s="194">
        <f t="shared" ref="W55" si="35">S55+V55</f>
        <v>9910988.4697500467</v>
      </c>
      <c r="Y55" s="186"/>
      <c r="AA55" s="186"/>
      <c r="AB55" s="187"/>
      <c r="AC55" s="187"/>
      <c r="AD55" s="187"/>
      <c r="AE55" s="187"/>
      <c r="AF55" s="187"/>
      <c r="AG55" s="186"/>
    </row>
    <row r="56" spans="1:33" s="185" customFormat="1" ht="12.75" customHeight="1" x14ac:dyDescent="0.35">
      <c r="B56" s="238" t="s">
        <v>194</v>
      </c>
      <c r="C56" s="239">
        <v>105688</v>
      </c>
      <c r="D56" s="499">
        <v>162</v>
      </c>
      <c r="E56" s="240">
        <v>5700493</v>
      </c>
      <c r="F56" s="181">
        <f t="shared" si="30"/>
        <v>6.7100687607194676E-2</v>
      </c>
      <c r="G56" s="240">
        <v>6083000</v>
      </c>
      <c r="H56" s="182">
        <v>7.0000000000000007E-2</v>
      </c>
      <c r="I56" s="183">
        <f>+(G56*H56)+G56</f>
        <v>6508810</v>
      </c>
      <c r="J56" s="182">
        <v>0.1</v>
      </c>
      <c r="K56" s="183">
        <f>+(G56*J56)+G56</f>
        <v>6691300</v>
      </c>
      <c r="L56" s="495">
        <v>104</v>
      </c>
      <c r="M56" s="501">
        <v>620829000</v>
      </c>
      <c r="N56" s="507">
        <v>128</v>
      </c>
      <c r="O56" s="501">
        <v>765062000</v>
      </c>
      <c r="P56" s="497">
        <f>+M56+O56</f>
        <v>1385891000</v>
      </c>
      <c r="Q56" s="497">
        <f>M56/(1+F56)</f>
        <v>581790460.08499098</v>
      </c>
      <c r="R56" s="497">
        <f>($Q56*$R$10)+$Q56</f>
        <v>605352973.71843314</v>
      </c>
      <c r="S56" s="497">
        <f>M56-R56</f>
        <v>15476026.281566858</v>
      </c>
      <c r="T56" s="497">
        <f>O56/(1+F56)</f>
        <v>716953900.3067565</v>
      </c>
      <c r="U56" s="497">
        <f>($T56*$U$10)+$T56</f>
        <v>745990533.26918018</v>
      </c>
      <c r="V56" s="497">
        <f>O56-U56</f>
        <v>19071466.730819821</v>
      </c>
      <c r="W56" s="497">
        <f>S56+V56</f>
        <v>34547493.01238668</v>
      </c>
      <c r="Y56" s="186"/>
      <c r="AA56" s="186"/>
      <c r="AB56" s="187"/>
      <c r="AC56" s="187"/>
      <c r="AD56" s="187"/>
      <c r="AE56" s="187"/>
      <c r="AF56" s="187"/>
      <c r="AG56" s="186"/>
    </row>
    <row r="57" spans="1:33" s="185" customFormat="1" ht="12.75" customHeight="1" thickBot="1" x14ac:dyDescent="0.4">
      <c r="B57" s="238" t="s">
        <v>195</v>
      </c>
      <c r="C57" s="239">
        <v>105688</v>
      </c>
      <c r="D57" s="499"/>
      <c r="E57" s="240">
        <v>5700493</v>
      </c>
      <c r="F57" s="181">
        <f>(+G57/E57)-1</f>
        <v>5.5171894781732123E-2</v>
      </c>
      <c r="G57" s="240">
        <v>6015000</v>
      </c>
      <c r="H57" s="182">
        <v>7.0000000000000007E-2</v>
      </c>
      <c r="I57" s="183">
        <f>+(G57*H57)+G57</f>
        <v>6436050</v>
      </c>
      <c r="J57" s="182">
        <v>0.1</v>
      </c>
      <c r="K57" s="183">
        <f>+(G57*J57)+G57</f>
        <v>6616500</v>
      </c>
      <c r="L57" s="519"/>
      <c r="M57" s="520"/>
      <c r="N57" s="521"/>
      <c r="O57" s="520"/>
      <c r="P57" s="510"/>
      <c r="Q57" s="510"/>
      <c r="R57" s="510"/>
      <c r="S57" s="510"/>
      <c r="T57" s="510"/>
      <c r="U57" s="510"/>
      <c r="V57" s="510"/>
      <c r="W57" s="510"/>
      <c r="Y57" s="186"/>
      <c r="AA57" s="186"/>
      <c r="AB57" s="187"/>
      <c r="AC57" s="187"/>
      <c r="AD57" s="187"/>
      <c r="AE57" s="187"/>
      <c r="AF57" s="187"/>
      <c r="AG57" s="186"/>
    </row>
    <row r="58" spans="1:33" ht="23.25" customHeight="1" x14ac:dyDescent="0.5">
      <c r="B58" s="79" t="s">
        <v>117</v>
      </c>
      <c r="C58" s="82"/>
      <c r="D58" s="110"/>
      <c r="E58" s="161"/>
      <c r="F58" s="172" t="s">
        <v>118</v>
      </c>
      <c r="G58" s="161">
        <f>SUM(G13:G57)</f>
        <v>305789000</v>
      </c>
      <c r="H58" s="82"/>
      <c r="I58" s="82"/>
      <c r="J58" s="82"/>
      <c r="K58" s="82"/>
      <c r="L58" s="83">
        <f t="shared" ref="L58:W58" si="36">SUM(L13:L57)</f>
        <v>7053</v>
      </c>
      <c r="M58" s="84">
        <f t="shared" si="36"/>
        <v>51835105700</v>
      </c>
      <c r="N58" s="83">
        <f t="shared" si="36"/>
        <v>7105</v>
      </c>
      <c r="O58" s="84">
        <f t="shared" si="36"/>
        <v>52350853600</v>
      </c>
      <c r="P58" s="84">
        <f>SUM(P13:P57)</f>
        <v>104185959300</v>
      </c>
      <c r="Q58" s="84">
        <f t="shared" si="36"/>
        <v>49123227294.046577</v>
      </c>
      <c r="R58" s="84">
        <f>SUM(R13:R57)</f>
        <v>51112717999.455467</v>
      </c>
      <c r="S58" s="84">
        <f t="shared" si="36"/>
        <v>722387700.54453897</v>
      </c>
      <c r="T58" s="84">
        <f t="shared" si="36"/>
        <v>49610492770.843102</v>
      </c>
      <c r="U58" s="84">
        <f t="shared" si="36"/>
        <v>51619717728.062248</v>
      </c>
      <c r="V58" s="84">
        <f t="shared" si="36"/>
        <v>731135871.93774593</v>
      </c>
      <c r="W58" s="84">
        <f t="shared" si="36"/>
        <v>1453523572.482285</v>
      </c>
      <c r="Y58" s="124"/>
      <c r="AA58" s="124"/>
      <c r="AB58" s="123"/>
      <c r="AC58" s="123"/>
      <c r="AD58" s="123"/>
      <c r="AE58" s="123"/>
      <c r="AF58" s="123"/>
      <c r="AG58" s="124"/>
    </row>
    <row r="59" spans="1:33" ht="26.25" customHeight="1" thickBot="1" x14ac:dyDescent="0.4">
      <c r="A59" s="65" t="s">
        <v>144</v>
      </c>
      <c r="B59" s="85" t="s">
        <v>119</v>
      </c>
      <c r="C59" s="89"/>
      <c r="D59" s="111"/>
      <c r="E59" s="162"/>
      <c r="F59" s="173"/>
      <c r="G59" s="163">
        <f>+SUMPRODUCT(G13:G57,F13:F57)/G58</f>
        <v>5.5307924681514443E-2</v>
      </c>
      <c r="H59" s="89"/>
      <c r="I59" s="89"/>
      <c r="J59" s="89"/>
      <c r="K59" s="89"/>
      <c r="L59" s="90"/>
      <c r="M59" s="91"/>
      <c r="N59" s="90"/>
      <c r="O59" s="92"/>
      <c r="P59" s="88"/>
      <c r="Q59" s="88"/>
      <c r="R59" s="88"/>
      <c r="S59" s="88"/>
      <c r="T59" s="88"/>
      <c r="U59" s="88"/>
      <c r="V59" s="88"/>
      <c r="W59" s="88"/>
      <c r="Y59" s="124"/>
      <c r="AA59" s="124"/>
      <c r="AB59" s="123"/>
      <c r="AC59" s="123"/>
      <c r="AD59" s="123"/>
      <c r="AE59" s="123"/>
      <c r="AF59" s="123"/>
      <c r="AG59" s="124"/>
    </row>
    <row r="60" spans="1:33" ht="24" customHeight="1" thickBot="1" x14ac:dyDescent="0.25">
      <c r="B60" s="72" t="s">
        <v>120</v>
      </c>
      <c r="C60" s="73"/>
      <c r="D60" s="109"/>
      <c r="E60" s="164"/>
      <c r="F60" s="174"/>
      <c r="G60" s="164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Y60" s="124"/>
      <c r="AA60" s="124"/>
      <c r="AB60" s="123"/>
      <c r="AC60" s="123"/>
      <c r="AD60" s="123"/>
      <c r="AE60" s="123"/>
      <c r="AF60" s="123"/>
      <c r="AG60" s="124"/>
    </row>
    <row r="61" spans="1:33" ht="11.5" x14ac:dyDescent="0.25">
      <c r="B61" s="62" t="s">
        <v>38</v>
      </c>
      <c r="C61" s="62"/>
      <c r="D61" s="115"/>
      <c r="E61" s="159"/>
      <c r="F61" s="175"/>
      <c r="G61" s="165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Y61" s="124"/>
      <c r="AA61" s="124"/>
      <c r="AB61" s="123"/>
      <c r="AC61" s="123"/>
      <c r="AD61" s="123"/>
      <c r="AE61" s="123"/>
      <c r="AF61" s="123"/>
      <c r="AG61" s="124"/>
    </row>
    <row r="62" spans="1:33" s="185" customFormat="1" ht="15.5" x14ac:dyDescent="0.35">
      <c r="B62" s="180" t="s">
        <v>63</v>
      </c>
      <c r="C62" s="180">
        <v>103047</v>
      </c>
      <c r="D62" s="267">
        <v>48</v>
      </c>
      <c r="E62" s="179">
        <v>8520197</v>
      </c>
      <c r="F62" s="181">
        <f t="shared" ref="F62:F110" si="37">(+G62/E62)-1</f>
        <v>5.5022554055968342E-2</v>
      </c>
      <c r="G62" s="179">
        <v>8989000</v>
      </c>
      <c r="H62" s="182">
        <v>7.0000000000000007E-2</v>
      </c>
      <c r="I62" s="183">
        <f>+(G62*H62)+G62</f>
        <v>9618230</v>
      </c>
      <c r="J62" s="182">
        <v>0.1</v>
      </c>
      <c r="K62" s="183">
        <f>+(G62*J62)+G62</f>
        <v>9887900</v>
      </c>
      <c r="L62" s="195">
        <v>21</v>
      </c>
      <c r="M62" s="236">
        <v>174386691</v>
      </c>
      <c r="N62" s="237">
        <v>46</v>
      </c>
      <c r="O62" s="236">
        <v>389223791</v>
      </c>
      <c r="P62" s="194">
        <f>+M62+O62</f>
        <v>563610482</v>
      </c>
      <c r="Q62" s="194">
        <f>M62/(1+F62)</f>
        <v>165291908.05408022</v>
      </c>
      <c r="R62" s="194">
        <f t="shared" ref="R62:R65" si="38">($Q62*$R$10)+$Q62</f>
        <v>171986230.33027047</v>
      </c>
      <c r="S62" s="194">
        <f t="shared" ref="S62:S65" si="39">M62-R62</f>
        <v>2400460.6697295308</v>
      </c>
      <c r="T62" s="194">
        <f>O62/(1+F62)</f>
        <v>368924616.35408026</v>
      </c>
      <c r="U62" s="194">
        <f>($T62*$U$10)+$T62</f>
        <v>383866063.3164205</v>
      </c>
      <c r="V62" s="194">
        <f t="shared" ref="V62:V65" si="40">O62-U62</f>
        <v>5357727.6835795045</v>
      </c>
      <c r="W62" s="194">
        <f t="shared" ref="W62:W65" si="41">S62+V62</f>
        <v>7758188.3533090353</v>
      </c>
      <c r="Y62" s="186"/>
      <c r="AA62" s="186"/>
      <c r="AB62" s="187"/>
      <c r="AC62" s="187"/>
      <c r="AD62" s="187"/>
      <c r="AE62" s="187"/>
      <c r="AF62" s="187"/>
      <c r="AG62" s="186"/>
    </row>
    <row r="63" spans="1:33" s="185" customFormat="1" ht="15.5" x14ac:dyDescent="0.35">
      <c r="B63" s="180" t="s">
        <v>128</v>
      </c>
      <c r="C63" s="180">
        <v>106180</v>
      </c>
      <c r="D63" s="267">
        <v>197</v>
      </c>
      <c r="E63" s="179">
        <v>13793103</v>
      </c>
      <c r="F63" s="181">
        <f t="shared" si="37"/>
        <v>5.5020034288151054E-2</v>
      </c>
      <c r="G63" s="179">
        <v>14552000</v>
      </c>
      <c r="H63" s="182">
        <v>7.0000000000000007E-2</v>
      </c>
      <c r="I63" s="183">
        <f>+(G63*H63)+G63</f>
        <v>15570640</v>
      </c>
      <c r="J63" s="182">
        <v>0.1</v>
      </c>
      <c r="K63" s="183">
        <f>+(G63*J63)+G63</f>
        <v>16007200</v>
      </c>
      <c r="L63" s="195">
        <v>11</v>
      </c>
      <c r="M63" s="236">
        <v>157889200</v>
      </c>
      <c r="N63" s="237">
        <v>16</v>
      </c>
      <c r="O63" s="236">
        <v>230649200</v>
      </c>
      <c r="P63" s="194">
        <f>+M63+O63</f>
        <v>388538400</v>
      </c>
      <c r="Q63" s="194">
        <f>M63/(1+F63)</f>
        <v>149655167.55000001</v>
      </c>
      <c r="R63" s="194">
        <f t="shared" si="38"/>
        <v>155716201.83577502</v>
      </c>
      <c r="S63" s="194">
        <f t="shared" si="39"/>
        <v>2172998.1642249823</v>
      </c>
      <c r="T63" s="194">
        <f>O63/(1+F63)</f>
        <v>218620682.55000001</v>
      </c>
      <c r="U63" s="194">
        <f t="shared" ref="U63:U65" si="42">($T63*$U$10)+$T63</f>
        <v>227474820.193275</v>
      </c>
      <c r="V63" s="194">
        <f t="shared" si="40"/>
        <v>3174379.8067249954</v>
      </c>
      <c r="W63" s="194">
        <f t="shared" si="41"/>
        <v>5347377.9709499776</v>
      </c>
      <c r="Y63" s="186"/>
      <c r="AA63" s="186"/>
      <c r="AB63" s="187"/>
      <c r="AC63" s="187"/>
      <c r="AD63" s="187"/>
      <c r="AE63" s="187"/>
      <c r="AF63" s="187"/>
      <c r="AG63" s="186"/>
    </row>
    <row r="64" spans="1:33" s="185" customFormat="1" ht="15.5" x14ac:dyDescent="0.35">
      <c r="B64" s="180" t="s">
        <v>129</v>
      </c>
      <c r="C64" s="180">
        <v>105878</v>
      </c>
      <c r="D64" s="267">
        <v>191</v>
      </c>
      <c r="E64" s="179">
        <v>13793103</v>
      </c>
      <c r="F64" s="181">
        <f t="shared" si="37"/>
        <v>5.5020034288151054E-2</v>
      </c>
      <c r="G64" s="179">
        <v>14552000</v>
      </c>
      <c r="H64" s="182">
        <v>7.0000000000000007E-2</v>
      </c>
      <c r="I64" s="183">
        <f>+(G64*H64)+G64</f>
        <v>15570640</v>
      </c>
      <c r="J64" s="182">
        <v>0.1</v>
      </c>
      <c r="K64" s="183">
        <f>+(G64*J64)+G64</f>
        <v>16007200</v>
      </c>
      <c r="L64" s="195">
        <v>8</v>
      </c>
      <c r="M64" s="236">
        <v>116416000</v>
      </c>
      <c r="N64" s="237">
        <v>11</v>
      </c>
      <c r="O64" s="236">
        <v>160072000</v>
      </c>
      <c r="P64" s="194">
        <f>+M64+O64</f>
        <v>276488000</v>
      </c>
      <c r="Q64" s="194">
        <f>M64/(1+F64)</f>
        <v>110344824</v>
      </c>
      <c r="R64" s="194">
        <f t="shared" si="38"/>
        <v>114813789.37199999</v>
      </c>
      <c r="S64" s="194">
        <f t="shared" si="39"/>
        <v>1602210.6280000061</v>
      </c>
      <c r="T64" s="194">
        <f>O64/(1+F64)</f>
        <v>151724133</v>
      </c>
      <c r="U64" s="194">
        <f t="shared" si="42"/>
        <v>157868960.3865</v>
      </c>
      <c r="V64" s="194">
        <f t="shared" si="40"/>
        <v>2203039.613499999</v>
      </c>
      <c r="W64" s="194">
        <f t="shared" si="41"/>
        <v>3805250.2415000051</v>
      </c>
      <c r="Y64" s="186"/>
      <c r="AA64" s="186"/>
      <c r="AB64" s="187"/>
      <c r="AC64" s="187"/>
      <c r="AD64" s="187"/>
      <c r="AE64" s="187"/>
      <c r="AF64" s="187"/>
      <c r="AG64" s="186"/>
    </row>
    <row r="65" spans="2:33" s="206" customFormat="1" ht="15.5" x14ac:dyDescent="0.35">
      <c r="B65" s="216" t="s">
        <v>131</v>
      </c>
      <c r="C65" s="216">
        <v>106387</v>
      </c>
      <c r="D65" s="217">
        <v>198</v>
      </c>
      <c r="E65" s="218">
        <v>0</v>
      </c>
      <c r="F65" s="201">
        <v>0</v>
      </c>
      <c r="G65" s="219">
        <v>11500000</v>
      </c>
      <c r="H65" s="202">
        <v>7.0000000000000007E-2</v>
      </c>
      <c r="I65" s="203">
        <f>+(G65*H65)+G65</f>
        <v>12305000</v>
      </c>
      <c r="J65" s="202">
        <v>0.1</v>
      </c>
      <c r="K65" s="203">
        <f>+(G65*J65)+G65</f>
        <v>12650000</v>
      </c>
      <c r="L65" s="204">
        <v>5</v>
      </c>
      <c r="M65" s="205">
        <v>57500000</v>
      </c>
      <c r="N65" s="204">
        <v>11</v>
      </c>
      <c r="O65" s="205">
        <v>126500000</v>
      </c>
      <c r="P65" s="205">
        <f>+M65+O65</f>
        <v>184000000</v>
      </c>
      <c r="Q65" s="205">
        <f>M65/(1+F65)</f>
        <v>57500000</v>
      </c>
      <c r="R65" s="205">
        <f t="shared" si="38"/>
        <v>59828750</v>
      </c>
      <c r="S65" s="205">
        <f t="shared" si="39"/>
        <v>-2328750</v>
      </c>
      <c r="T65" s="205">
        <f>O65/(1+F65)</f>
        <v>126500000</v>
      </c>
      <c r="U65" s="205">
        <f t="shared" si="42"/>
        <v>131623250</v>
      </c>
      <c r="V65" s="205">
        <f t="shared" si="40"/>
        <v>-5123250</v>
      </c>
      <c r="W65" s="205">
        <f t="shared" si="41"/>
        <v>-7452000</v>
      </c>
      <c r="Y65" s="207"/>
      <c r="AA65" s="207"/>
      <c r="AB65" s="208"/>
      <c r="AC65" s="208"/>
      <c r="AD65" s="208"/>
      <c r="AE65" s="208"/>
      <c r="AF65" s="208"/>
      <c r="AG65" s="207"/>
    </row>
    <row r="66" spans="2:33" ht="12.5" x14ac:dyDescent="0.25">
      <c r="B66" s="62" t="s">
        <v>92</v>
      </c>
      <c r="C66" s="62"/>
      <c r="D66" s="115"/>
      <c r="E66" s="159"/>
      <c r="F66" s="142"/>
      <c r="G66" s="166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Y66" s="124"/>
      <c r="AA66" s="124"/>
      <c r="AB66" s="123"/>
      <c r="AC66" s="123"/>
      <c r="AD66" s="123"/>
      <c r="AE66" s="123"/>
      <c r="AF66" s="123"/>
      <c r="AG66" s="124"/>
    </row>
    <row r="67" spans="2:33" s="185" customFormat="1" ht="15.5" x14ac:dyDescent="0.35">
      <c r="B67" s="180" t="s">
        <v>48</v>
      </c>
      <c r="C67" s="180">
        <v>1047</v>
      </c>
      <c r="D67" s="267">
        <v>30</v>
      </c>
      <c r="E67" s="234">
        <v>8737931</v>
      </c>
      <c r="F67" s="181">
        <f t="shared" si="37"/>
        <v>5.5055252782380659E-2</v>
      </c>
      <c r="G67" s="234">
        <v>9219000</v>
      </c>
      <c r="H67" s="182">
        <v>7.0000000000000007E-2</v>
      </c>
      <c r="I67" s="183">
        <f t="shared" ref="I67:I77" si="43">+(G67*H67)+G67</f>
        <v>9864330</v>
      </c>
      <c r="J67" s="182">
        <v>0.1</v>
      </c>
      <c r="K67" s="183">
        <f t="shared" ref="K67:K77" si="44">+(G67*J67)+G67</f>
        <v>10140900</v>
      </c>
      <c r="L67" s="195">
        <v>48</v>
      </c>
      <c r="M67" s="236">
        <v>419003550</v>
      </c>
      <c r="N67" s="237">
        <v>45</v>
      </c>
      <c r="O67" s="236">
        <v>391346550</v>
      </c>
      <c r="P67" s="194">
        <f>+M67+O67</f>
        <v>810350100</v>
      </c>
      <c r="Q67" s="194">
        <f t="shared" ref="Q67:Q77" si="45">M67/(1+F67)</f>
        <v>397138963.94999999</v>
      </c>
      <c r="R67" s="194">
        <f t="shared" ref="R67:R87" si="46">($Q67*$R$10)+$Q67</f>
        <v>413223091.98997498</v>
      </c>
      <c r="S67" s="194">
        <f t="shared" ref="S67:S77" si="47">M67-R67</f>
        <v>5780458.0100250244</v>
      </c>
      <c r="T67" s="194">
        <f t="shared" ref="T67:T77" si="48">O67/(1+F67)</f>
        <v>370925170.94999999</v>
      </c>
      <c r="U67" s="194">
        <f t="shared" ref="U67:U87" si="49">($T67*$U$10)+$T67</f>
        <v>385947640.37347502</v>
      </c>
      <c r="V67" s="194">
        <f t="shared" ref="V67:V77" si="50">O67-U67</f>
        <v>5398909.6265249848</v>
      </c>
      <c r="W67" s="194">
        <f t="shared" ref="W67:W77" si="51">S67+V67</f>
        <v>11179367.636550009</v>
      </c>
      <c r="Y67" s="186"/>
      <c r="AA67" s="186"/>
      <c r="AB67" s="187"/>
      <c r="AC67" s="187"/>
      <c r="AD67" s="187"/>
      <c r="AE67" s="187"/>
      <c r="AF67" s="187"/>
      <c r="AG67" s="186"/>
    </row>
    <row r="68" spans="2:33" s="185" customFormat="1" ht="15.5" x14ac:dyDescent="0.35">
      <c r="B68" s="180" t="s">
        <v>49</v>
      </c>
      <c r="C68" s="180">
        <v>16878</v>
      </c>
      <c r="D68" s="267">
        <v>30</v>
      </c>
      <c r="E68" s="179">
        <v>8737931</v>
      </c>
      <c r="F68" s="181">
        <f t="shared" si="37"/>
        <v>5.5055252782380659E-2</v>
      </c>
      <c r="G68" s="179">
        <v>9219000</v>
      </c>
      <c r="H68" s="182">
        <v>7.0000000000000007E-2</v>
      </c>
      <c r="I68" s="183">
        <f t="shared" si="43"/>
        <v>9864330</v>
      </c>
      <c r="J68" s="182">
        <v>0.1</v>
      </c>
      <c r="K68" s="183">
        <f t="shared" si="44"/>
        <v>10140900</v>
      </c>
      <c r="L68" s="195">
        <v>45</v>
      </c>
      <c r="M68" s="236">
        <v>395956050</v>
      </c>
      <c r="N68" s="237">
        <v>60</v>
      </c>
      <c r="O68" s="236">
        <v>529631550</v>
      </c>
      <c r="P68" s="194">
        <f t="shared" ref="P68:P77" si="52">+M68+O68</f>
        <v>925587600</v>
      </c>
      <c r="Q68" s="194">
        <f t="shared" si="45"/>
        <v>375294136.44999999</v>
      </c>
      <c r="R68" s="194">
        <f t="shared" si="46"/>
        <v>390493548.97622502</v>
      </c>
      <c r="S68" s="194">
        <f t="shared" si="47"/>
        <v>5462501.0237749815</v>
      </c>
      <c r="T68" s="194">
        <f t="shared" si="48"/>
        <v>501994135.94999999</v>
      </c>
      <c r="U68" s="194">
        <f t="shared" si="49"/>
        <v>522324898.455975</v>
      </c>
      <c r="V68" s="194">
        <f t="shared" si="50"/>
        <v>7306651.5440250039</v>
      </c>
      <c r="W68" s="194">
        <f t="shared" si="51"/>
        <v>12769152.567799985</v>
      </c>
      <c r="Y68" s="186"/>
      <c r="AA68" s="186"/>
      <c r="AB68" s="187"/>
      <c r="AC68" s="187"/>
      <c r="AD68" s="187"/>
      <c r="AE68" s="187"/>
      <c r="AF68" s="187"/>
      <c r="AG68" s="186"/>
    </row>
    <row r="69" spans="2:33" s="185" customFormat="1" ht="15.5" x14ac:dyDescent="0.35">
      <c r="B69" s="180" t="s">
        <v>50</v>
      </c>
      <c r="C69" s="180">
        <v>6576</v>
      </c>
      <c r="D69" s="267">
        <v>30</v>
      </c>
      <c r="E69" s="179">
        <v>8737931</v>
      </c>
      <c r="F69" s="181">
        <f t="shared" si="37"/>
        <v>5.5055252782380659E-2</v>
      </c>
      <c r="G69" s="179">
        <v>9219000</v>
      </c>
      <c r="H69" s="182">
        <v>7.0000000000000007E-2</v>
      </c>
      <c r="I69" s="183">
        <f t="shared" si="43"/>
        <v>9864330</v>
      </c>
      <c r="J69" s="182">
        <v>0.1</v>
      </c>
      <c r="K69" s="183">
        <f t="shared" si="44"/>
        <v>10140900</v>
      </c>
      <c r="L69" s="195">
        <v>20</v>
      </c>
      <c r="M69" s="236">
        <v>174239100</v>
      </c>
      <c r="N69" s="237">
        <v>28</v>
      </c>
      <c r="O69" s="236">
        <v>243381600</v>
      </c>
      <c r="P69" s="194">
        <f t="shared" si="52"/>
        <v>417620700</v>
      </c>
      <c r="Q69" s="194">
        <f t="shared" si="45"/>
        <v>165146895.90000001</v>
      </c>
      <c r="R69" s="194">
        <f t="shared" si="46"/>
        <v>171835345.18395001</v>
      </c>
      <c r="S69" s="194">
        <f t="shared" si="47"/>
        <v>2403754.816049993</v>
      </c>
      <c r="T69" s="194">
        <f t="shared" si="48"/>
        <v>230681378.40000001</v>
      </c>
      <c r="U69" s="194">
        <f t="shared" si="49"/>
        <v>240023974.2252</v>
      </c>
      <c r="V69" s="194">
        <f t="shared" si="50"/>
        <v>3357625.7748000026</v>
      </c>
      <c r="W69" s="194">
        <f t="shared" si="51"/>
        <v>5761380.5908499956</v>
      </c>
      <c r="Y69" s="186"/>
      <c r="AA69" s="186"/>
      <c r="AB69" s="187"/>
      <c r="AC69" s="187"/>
      <c r="AD69" s="187"/>
      <c r="AE69" s="187"/>
      <c r="AF69" s="187"/>
      <c r="AG69" s="186"/>
    </row>
    <row r="70" spans="2:33" ht="15.5" x14ac:dyDescent="0.35">
      <c r="B70" s="196" t="s">
        <v>94</v>
      </c>
      <c r="C70" s="128">
        <v>1047</v>
      </c>
      <c r="D70" s="129">
        <v>30</v>
      </c>
      <c r="E70" s="149">
        <v>8737931</v>
      </c>
      <c r="F70" s="168">
        <f t="shared" si="37"/>
        <v>5.5055252782380659E-2</v>
      </c>
      <c r="G70" s="149">
        <v>9219000</v>
      </c>
      <c r="H70" s="130">
        <v>7.0000000000000007E-2</v>
      </c>
      <c r="I70" s="131">
        <f t="shared" si="43"/>
        <v>9864330</v>
      </c>
      <c r="J70" s="130">
        <v>0.1</v>
      </c>
      <c r="K70" s="131">
        <f t="shared" si="44"/>
        <v>10140900</v>
      </c>
      <c r="L70" s="132"/>
      <c r="M70" s="133">
        <f>+L70*G70</f>
        <v>0</v>
      </c>
      <c r="N70" s="132"/>
      <c r="O70" s="126">
        <v>0</v>
      </c>
      <c r="P70" s="133">
        <f t="shared" si="52"/>
        <v>0</v>
      </c>
      <c r="Q70" s="133">
        <f t="shared" si="45"/>
        <v>0</v>
      </c>
      <c r="R70" s="133">
        <f t="shared" si="46"/>
        <v>0</v>
      </c>
      <c r="S70" s="133">
        <f t="shared" si="47"/>
        <v>0</v>
      </c>
      <c r="T70" s="133">
        <f t="shared" si="48"/>
        <v>0</v>
      </c>
      <c r="U70" s="133">
        <f t="shared" si="49"/>
        <v>0</v>
      </c>
      <c r="V70" s="133">
        <f t="shared" si="50"/>
        <v>0</v>
      </c>
      <c r="W70" s="133">
        <f t="shared" si="51"/>
        <v>0</v>
      </c>
      <c r="Y70" s="124"/>
      <c r="AA70" s="124"/>
      <c r="AB70" s="123"/>
      <c r="AC70" s="123"/>
      <c r="AD70" s="123"/>
      <c r="AE70" s="123"/>
      <c r="AF70" s="123"/>
      <c r="AG70" s="134"/>
    </row>
    <row r="71" spans="2:33" s="185" customFormat="1" ht="15.5" x14ac:dyDescent="0.35">
      <c r="B71" s="180" t="s">
        <v>51</v>
      </c>
      <c r="C71" s="180">
        <v>53920</v>
      </c>
      <c r="D71" s="267">
        <v>28</v>
      </c>
      <c r="E71" s="179">
        <v>8612808</v>
      </c>
      <c r="F71" s="181">
        <f t="shared" si="37"/>
        <v>5.5056608715763788E-2</v>
      </c>
      <c r="G71" s="179">
        <v>9087000</v>
      </c>
      <c r="H71" s="182">
        <v>7.0000000000000007E-2</v>
      </c>
      <c r="I71" s="183">
        <f t="shared" si="43"/>
        <v>9723090</v>
      </c>
      <c r="J71" s="182">
        <v>0.1</v>
      </c>
      <c r="K71" s="183">
        <f t="shared" si="44"/>
        <v>9995700</v>
      </c>
      <c r="L71" s="195">
        <v>0</v>
      </c>
      <c r="M71" s="194">
        <f>+L71*G71</f>
        <v>0</v>
      </c>
      <c r="N71" s="195">
        <v>10</v>
      </c>
      <c r="O71" s="194">
        <v>90870000</v>
      </c>
      <c r="P71" s="194">
        <f t="shared" si="52"/>
        <v>90870000</v>
      </c>
      <c r="Q71" s="194">
        <f t="shared" si="45"/>
        <v>0</v>
      </c>
      <c r="R71" s="194">
        <f t="shared" si="46"/>
        <v>0</v>
      </c>
      <c r="S71" s="194">
        <f t="shared" si="47"/>
        <v>0</v>
      </c>
      <c r="T71" s="194">
        <f t="shared" si="48"/>
        <v>86128080</v>
      </c>
      <c r="U71" s="194">
        <f t="shared" si="49"/>
        <v>89616267.239999995</v>
      </c>
      <c r="V71" s="194">
        <f t="shared" si="50"/>
        <v>1253732.7600000054</v>
      </c>
      <c r="W71" s="194">
        <f t="shared" si="51"/>
        <v>1253732.7600000054</v>
      </c>
      <c r="Y71" s="186"/>
      <c r="AA71" s="186"/>
      <c r="AB71" s="187"/>
      <c r="AC71" s="187"/>
      <c r="AD71" s="187"/>
      <c r="AE71" s="187"/>
      <c r="AF71" s="187"/>
      <c r="AG71" s="186"/>
    </row>
    <row r="72" spans="2:33" s="185" customFormat="1" ht="15.5" x14ac:dyDescent="0.35">
      <c r="B72" s="180" t="s">
        <v>95</v>
      </c>
      <c r="C72" s="180">
        <v>105459</v>
      </c>
      <c r="D72" s="267">
        <v>24</v>
      </c>
      <c r="E72" s="179">
        <v>8737931</v>
      </c>
      <c r="F72" s="181">
        <f t="shared" si="37"/>
        <v>5.5055252782380659E-2</v>
      </c>
      <c r="G72" s="179">
        <v>9219000</v>
      </c>
      <c r="H72" s="182">
        <v>7.0000000000000007E-2</v>
      </c>
      <c r="I72" s="183">
        <f t="shared" si="43"/>
        <v>9864330</v>
      </c>
      <c r="J72" s="182">
        <v>0.1</v>
      </c>
      <c r="K72" s="183">
        <f t="shared" si="44"/>
        <v>10140900</v>
      </c>
      <c r="L72" s="195">
        <v>11</v>
      </c>
      <c r="M72" s="236">
        <v>96799500</v>
      </c>
      <c r="N72" s="237">
        <v>12</v>
      </c>
      <c r="O72" s="236">
        <v>106018500</v>
      </c>
      <c r="P72" s="194">
        <f t="shared" si="52"/>
        <v>202818000</v>
      </c>
      <c r="Q72" s="194">
        <f t="shared" si="45"/>
        <v>91748275.5</v>
      </c>
      <c r="R72" s="194">
        <f t="shared" si="46"/>
        <v>95464080.657749996</v>
      </c>
      <c r="S72" s="194">
        <f t="shared" si="47"/>
        <v>1335419.3422500044</v>
      </c>
      <c r="T72" s="194">
        <f t="shared" si="48"/>
        <v>100486206.5</v>
      </c>
      <c r="U72" s="194">
        <f t="shared" si="49"/>
        <v>104555897.86325</v>
      </c>
      <c r="V72" s="194">
        <f t="shared" si="50"/>
        <v>1462602.1367499977</v>
      </c>
      <c r="W72" s="194">
        <f t="shared" si="51"/>
        <v>2798021.4790000021</v>
      </c>
      <c r="Y72" s="186"/>
      <c r="AA72" s="186"/>
      <c r="AB72" s="187"/>
      <c r="AC72" s="187"/>
      <c r="AD72" s="187"/>
      <c r="AE72" s="187"/>
      <c r="AF72" s="187"/>
      <c r="AG72" s="186"/>
    </row>
    <row r="73" spans="2:33" ht="15.5" x14ac:dyDescent="0.35">
      <c r="B73" s="196" t="s">
        <v>96</v>
      </c>
      <c r="C73" s="128"/>
      <c r="D73" s="129">
        <v>24</v>
      </c>
      <c r="E73" s="125">
        <v>7738916</v>
      </c>
      <c r="F73" s="168">
        <f t="shared" si="37"/>
        <v>5.5057323273698833E-2</v>
      </c>
      <c r="G73" s="125">
        <v>8165000</v>
      </c>
      <c r="H73" s="76">
        <v>7.0000000000000007E-2</v>
      </c>
      <c r="I73" s="77">
        <f t="shared" si="43"/>
        <v>8736550</v>
      </c>
      <c r="J73" s="76">
        <v>0.1</v>
      </c>
      <c r="K73" s="77">
        <f t="shared" si="44"/>
        <v>8981500</v>
      </c>
      <c r="L73" s="132"/>
      <c r="M73" s="126">
        <v>0</v>
      </c>
      <c r="N73" s="127"/>
      <c r="O73" s="126">
        <v>0</v>
      </c>
      <c r="P73" s="126">
        <f t="shared" si="52"/>
        <v>0</v>
      </c>
      <c r="Q73" s="126">
        <f t="shared" si="45"/>
        <v>0</v>
      </c>
      <c r="R73" s="126">
        <f t="shared" si="46"/>
        <v>0</v>
      </c>
      <c r="S73" s="126">
        <f t="shared" si="47"/>
        <v>0</v>
      </c>
      <c r="T73" s="126">
        <f t="shared" si="48"/>
        <v>0</v>
      </c>
      <c r="U73" s="126">
        <f t="shared" si="49"/>
        <v>0</v>
      </c>
      <c r="V73" s="126">
        <f t="shared" si="50"/>
        <v>0</v>
      </c>
      <c r="W73" s="126">
        <f t="shared" si="51"/>
        <v>0</v>
      </c>
      <c r="Y73" s="124"/>
      <c r="AA73" s="124"/>
      <c r="AB73" s="123"/>
      <c r="AC73" s="123"/>
      <c r="AD73" s="123"/>
      <c r="AE73" s="123"/>
      <c r="AF73" s="123"/>
      <c r="AG73" s="124"/>
    </row>
    <row r="74" spans="2:33" s="185" customFormat="1" ht="15.5" x14ac:dyDescent="0.35">
      <c r="B74" s="180" t="s">
        <v>52</v>
      </c>
      <c r="C74" s="180">
        <v>52282</v>
      </c>
      <c r="D74" s="267">
        <v>44</v>
      </c>
      <c r="E74" s="179">
        <v>9051232</v>
      </c>
      <c r="F74" s="181">
        <f t="shared" si="37"/>
        <v>5.5104984603201013E-2</v>
      </c>
      <c r="G74" s="179">
        <v>9550000</v>
      </c>
      <c r="H74" s="182">
        <v>7.0000000000000007E-2</v>
      </c>
      <c r="I74" s="183">
        <f t="shared" si="43"/>
        <v>10218500</v>
      </c>
      <c r="J74" s="182">
        <v>0.1</v>
      </c>
      <c r="K74" s="183">
        <f t="shared" si="44"/>
        <v>10505000</v>
      </c>
      <c r="L74" s="195">
        <v>34</v>
      </c>
      <c r="M74" s="194">
        <v>305122500</v>
      </c>
      <c r="N74" s="195">
        <v>39</v>
      </c>
      <c r="O74" s="194">
        <v>352872500</v>
      </c>
      <c r="P74" s="194">
        <f t="shared" si="52"/>
        <v>657995000</v>
      </c>
      <c r="Q74" s="194">
        <f t="shared" si="45"/>
        <v>289186862.39999998</v>
      </c>
      <c r="R74" s="194">
        <f t="shared" si="46"/>
        <v>300898930.3272</v>
      </c>
      <c r="S74" s="194">
        <f t="shared" si="47"/>
        <v>4223569.6728000045</v>
      </c>
      <c r="T74" s="194">
        <f t="shared" si="48"/>
        <v>334443022.39999998</v>
      </c>
      <c r="U74" s="194">
        <f t="shared" si="49"/>
        <v>347987964.80719995</v>
      </c>
      <c r="V74" s="194">
        <f t="shared" si="50"/>
        <v>4884535.192800045</v>
      </c>
      <c r="W74" s="194">
        <f t="shared" si="51"/>
        <v>9108104.8656000495</v>
      </c>
      <c r="Y74" s="186"/>
      <c r="AA74" s="186"/>
      <c r="AB74" s="187"/>
      <c r="AC74" s="187"/>
      <c r="AD74" s="187"/>
      <c r="AE74" s="187"/>
      <c r="AF74" s="187"/>
      <c r="AG74" s="186"/>
    </row>
    <row r="75" spans="2:33" s="185" customFormat="1" ht="15.5" x14ac:dyDescent="0.35">
      <c r="B75" s="180" t="s">
        <v>53</v>
      </c>
      <c r="C75" s="180">
        <v>103306</v>
      </c>
      <c r="D75" s="267">
        <v>44</v>
      </c>
      <c r="E75" s="179">
        <v>9052217</v>
      </c>
      <c r="F75" s="181">
        <f t="shared" si="37"/>
        <v>5.4990175334948432E-2</v>
      </c>
      <c r="G75" s="179">
        <v>9550000</v>
      </c>
      <c r="H75" s="182">
        <v>7.0000000000000007E-2</v>
      </c>
      <c r="I75" s="183">
        <f t="shared" si="43"/>
        <v>10218500</v>
      </c>
      <c r="J75" s="182">
        <v>0.1</v>
      </c>
      <c r="K75" s="183">
        <f t="shared" si="44"/>
        <v>10505000</v>
      </c>
      <c r="L75" s="195">
        <v>39</v>
      </c>
      <c r="M75" s="236">
        <v>350007500</v>
      </c>
      <c r="N75" s="237">
        <v>42</v>
      </c>
      <c r="O75" s="236">
        <v>378657500</v>
      </c>
      <c r="P75" s="194">
        <f t="shared" si="52"/>
        <v>728665000</v>
      </c>
      <c r="Q75" s="194">
        <f t="shared" si="45"/>
        <v>331763753.04999995</v>
      </c>
      <c r="R75" s="194">
        <f t="shared" si="46"/>
        <v>345200185.04852498</v>
      </c>
      <c r="S75" s="194">
        <f t="shared" si="47"/>
        <v>4807314.9514750242</v>
      </c>
      <c r="T75" s="194">
        <f t="shared" si="48"/>
        <v>358920404.04999995</v>
      </c>
      <c r="U75" s="194">
        <f t="shared" si="49"/>
        <v>373456680.41402495</v>
      </c>
      <c r="V75" s="194">
        <f t="shared" si="50"/>
        <v>5200819.5859750509</v>
      </c>
      <c r="W75" s="194">
        <f t="shared" si="51"/>
        <v>10008134.537450075</v>
      </c>
      <c r="Y75" s="186"/>
      <c r="AA75" s="186"/>
      <c r="AB75" s="187"/>
      <c r="AC75" s="187"/>
      <c r="AD75" s="187"/>
      <c r="AE75" s="187"/>
      <c r="AF75" s="187"/>
      <c r="AG75" s="186"/>
    </row>
    <row r="76" spans="2:33" s="185" customFormat="1" ht="15.5" x14ac:dyDescent="0.35">
      <c r="B76" s="180" t="s">
        <v>97</v>
      </c>
      <c r="C76" s="180">
        <v>105373</v>
      </c>
      <c r="D76" s="267">
        <v>48</v>
      </c>
      <c r="E76" s="179">
        <v>8737931</v>
      </c>
      <c r="F76" s="181">
        <f t="shared" si="37"/>
        <v>5.5055252782380659E-2</v>
      </c>
      <c r="G76" s="179">
        <v>9219000</v>
      </c>
      <c r="H76" s="182">
        <v>7.0000000000000007E-2</v>
      </c>
      <c r="I76" s="183">
        <f t="shared" si="43"/>
        <v>9864330</v>
      </c>
      <c r="J76" s="182">
        <v>0.1</v>
      </c>
      <c r="K76" s="183">
        <f t="shared" si="44"/>
        <v>10140900</v>
      </c>
      <c r="L76" s="195">
        <v>24</v>
      </c>
      <c r="M76" s="236">
        <v>215263650</v>
      </c>
      <c r="N76" s="237">
        <v>23</v>
      </c>
      <c r="O76" s="236">
        <v>206044650</v>
      </c>
      <c r="P76" s="194">
        <f t="shared" si="52"/>
        <v>421308300</v>
      </c>
      <c r="Q76" s="194">
        <f t="shared" si="45"/>
        <v>204030688.84999999</v>
      </c>
      <c r="R76" s="194">
        <f t="shared" si="46"/>
        <v>212293931.74842501</v>
      </c>
      <c r="S76" s="194">
        <f t="shared" si="47"/>
        <v>2969718.2515749931</v>
      </c>
      <c r="T76" s="194">
        <f t="shared" si="48"/>
        <v>195292757.84999999</v>
      </c>
      <c r="U76" s="194">
        <f t="shared" si="49"/>
        <v>203202114.542925</v>
      </c>
      <c r="V76" s="194">
        <f t="shared" si="50"/>
        <v>2842535.4570749998</v>
      </c>
      <c r="W76" s="194">
        <f t="shared" si="51"/>
        <v>5812253.7086499929</v>
      </c>
      <c r="Y76" s="186"/>
      <c r="AA76" s="186"/>
      <c r="AB76" s="187"/>
      <c r="AC76" s="187"/>
      <c r="AD76" s="187"/>
      <c r="AE76" s="187"/>
      <c r="AF76" s="187"/>
      <c r="AG76" s="186"/>
    </row>
    <row r="77" spans="2:33" s="185" customFormat="1" ht="15.5" x14ac:dyDescent="0.35">
      <c r="B77" s="180" t="s">
        <v>54</v>
      </c>
      <c r="C77" s="180">
        <v>103819</v>
      </c>
      <c r="D77" s="267">
        <v>112</v>
      </c>
      <c r="E77" s="179">
        <v>14948768</v>
      </c>
      <c r="F77" s="181">
        <f t="shared" si="37"/>
        <v>5.500332870240543E-2</v>
      </c>
      <c r="G77" s="179">
        <v>15771000</v>
      </c>
      <c r="H77" s="182">
        <v>7.0000000000000007E-2</v>
      </c>
      <c r="I77" s="183">
        <f t="shared" si="43"/>
        <v>16874970</v>
      </c>
      <c r="J77" s="182">
        <v>0.1</v>
      </c>
      <c r="K77" s="183">
        <f t="shared" si="44"/>
        <v>17348100</v>
      </c>
      <c r="L77" s="195">
        <v>11</v>
      </c>
      <c r="M77" s="236">
        <v>128533650</v>
      </c>
      <c r="N77" s="237">
        <v>13</v>
      </c>
      <c r="O77" s="236">
        <v>112762650</v>
      </c>
      <c r="P77" s="194">
        <f t="shared" si="52"/>
        <v>241296300</v>
      </c>
      <c r="Q77" s="194">
        <f t="shared" si="45"/>
        <v>121832459.2</v>
      </c>
      <c r="R77" s="194">
        <f t="shared" si="46"/>
        <v>126766673.7976</v>
      </c>
      <c r="S77" s="194">
        <f t="shared" si="47"/>
        <v>1766976.2023999989</v>
      </c>
      <c r="T77" s="194">
        <f t="shared" si="48"/>
        <v>106883691.2</v>
      </c>
      <c r="U77" s="194">
        <f t="shared" si="49"/>
        <v>111212480.6936</v>
      </c>
      <c r="V77" s="194">
        <f t="shared" si="50"/>
        <v>1550169.306400001</v>
      </c>
      <c r="W77" s="194">
        <f t="shared" si="51"/>
        <v>3317145.5088</v>
      </c>
      <c r="Y77" s="186"/>
      <c r="AA77" s="186"/>
      <c r="AB77" s="187"/>
      <c r="AC77" s="187"/>
      <c r="AD77" s="187"/>
      <c r="AE77" s="187"/>
      <c r="AF77" s="187"/>
      <c r="AG77" s="186"/>
    </row>
    <row r="78" spans="2:33" ht="13" x14ac:dyDescent="0.3">
      <c r="B78" s="62" t="s">
        <v>93</v>
      </c>
      <c r="C78" s="62"/>
      <c r="D78" s="115"/>
      <c r="E78" s="158"/>
      <c r="F78" s="142"/>
      <c r="G78" s="167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Y78" s="124"/>
      <c r="AA78" s="124"/>
      <c r="AB78" s="123"/>
      <c r="AC78" s="123"/>
      <c r="AD78" s="123"/>
      <c r="AE78" s="123"/>
      <c r="AF78" s="123"/>
      <c r="AG78" s="124"/>
    </row>
    <row r="79" spans="2:33" s="185" customFormat="1" ht="15.5" x14ac:dyDescent="0.35">
      <c r="B79" s="246" t="s">
        <v>39</v>
      </c>
      <c r="C79" s="247">
        <v>1046</v>
      </c>
      <c r="D79" s="248"/>
      <c r="E79" s="240">
        <v>5516256</v>
      </c>
      <c r="F79" s="181">
        <f t="shared" si="37"/>
        <v>4.5092903592581557E-2</v>
      </c>
      <c r="G79" s="240">
        <v>5765000</v>
      </c>
      <c r="H79" s="182">
        <v>7.0000000000000007E-2</v>
      </c>
      <c r="I79" s="183">
        <f t="shared" ref="I79:I96" si="53">+(G79*H79)+G79</f>
        <v>6168550</v>
      </c>
      <c r="J79" s="182">
        <v>0.1</v>
      </c>
      <c r="K79" s="183">
        <f t="shared" ref="K79:K96" si="54">+(G79*J79)+G79</f>
        <v>6341500</v>
      </c>
      <c r="L79" s="195">
        <v>56</v>
      </c>
      <c r="M79" s="249">
        <v>316786750</v>
      </c>
      <c r="N79" s="237">
        <v>55</v>
      </c>
      <c r="O79" s="236">
        <v>311886500</v>
      </c>
      <c r="P79" s="194">
        <f t="shared" ref="P79:P86" si="55">+M79+O79</f>
        <v>628673250</v>
      </c>
      <c r="Q79" s="194">
        <f t="shared" ref="Q79:Q87" si="56">M79/(1+F79)</f>
        <v>303118267.20000005</v>
      </c>
      <c r="R79" s="194">
        <f t="shared" si="46"/>
        <v>315394557.02160007</v>
      </c>
      <c r="S79" s="194">
        <f t="shared" ref="S79:S87" si="57">M79-R79</f>
        <v>1392192.9783999324</v>
      </c>
      <c r="T79" s="194">
        <f t="shared" ref="T79:T87" si="58">O79/(1+F79)</f>
        <v>298429449.60000002</v>
      </c>
      <c r="U79" s="194">
        <f t="shared" si="49"/>
        <v>310515842.30880004</v>
      </c>
      <c r="V79" s="194">
        <f t="shared" ref="V79:V86" si="59">O79-U79</f>
        <v>1370657.6911999583</v>
      </c>
      <c r="W79" s="194">
        <f t="shared" ref="W79:W87" si="60">S79+V79</f>
        <v>2762850.6695998907</v>
      </c>
      <c r="Y79" s="186"/>
      <c r="AA79" s="186"/>
      <c r="AB79" s="187"/>
      <c r="AC79" s="187"/>
      <c r="AD79" s="187"/>
      <c r="AE79" s="187"/>
      <c r="AF79" s="187"/>
      <c r="AG79" s="186"/>
    </row>
    <row r="80" spans="2:33" s="185" customFormat="1" ht="15.5" x14ac:dyDescent="0.35">
      <c r="B80" s="250" t="s">
        <v>40</v>
      </c>
      <c r="C80" s="251">
        <v>8663</v>
      </c>
      <c r="D80" s="252">
        <v>26</v>
      </c>
      <c r="E80" s="240">
        <v>9351724</v>
      </c>
      <c r="F80" s="181">
        <f t="shared" si="37"/>
        <v>5.5099573084064435E-2</v>
      </c>
      <c r="G80" s="240">
        <v>9867000</v>
      </c>
      <c r="H80" s="182">
        <v>7.0000000000000007E-2</v>
      </c>
      <c r="I80" s="183">
        <f t="shared" si="53"/>
        <v>10557690</v>
      </c>
      <c r="J80" s="182">
        <v>0.1</v>
      </c>
      <c r="K80" s="183">
        <f t="shared" si="54"/>
        <v>10853700</v>
      </c>
      <c r="L80" s="195">
        <v>44</v>
      </c>
      <c r="M80" s="249">
        <v>389346250</v>
      </c>
      <c r="N80" s="237">
        <v>41</v>
      </c>
      <c r="O80" s="236">
        <v>358265200</v>
      </c>
      <c r="P80" s="194">
        <f t="shared" si="55"/>
        <v>747611450</v>
      </c>
      <c r="Q80" s="194">
        <f t="shared" si="56"/>
        <v>369013749.91740143</v>
      </c>
      <c r="R80" s="194">
        <f t="shared" si="46"/>
        <v>383958806.78905618</v>
      </c>
      <c r="S80" s="194">
        <f t="shared" si="57"/>
        <v>5387443.2109438181</v>
      </c>
      <c r="T80" s="194">
        <f t="shared" si="58"/>
        <v>339555819.31740147</v>
      </c>
      <c r="U80" s="194">
        <f t="shared" si="49"/>
        <v>353307829.99975622</v>
      </c>
      <c r="V80" s="194">
        <f t="shared" si="59"/>
        <v>4957370.000243783</v>
      </c>
      <c r="W80" s="194">
        <f t="shared" si="60"/>
        <v>10344813.211187601</v>
      </c>
      <c r="Y80" s="186"/>
      <c r="AA80" s="186"/>
      <c r="AB80" s="187"/>
      <c r="AC80" s="187"/>
      <c r="AD80" s="187"/>
      <c r="AE80" s="187"/>
      <c r="AF80" s="187"/>
      <c r="AG80" s="186"/>
    </row>
    <row r="81" spans="2:33" s="185" customFormat="1" ht="15.5" x14ac:dyDescent="0.35">
      <c r="B81" s="246" t="s">
        <v>41</v>
      </c>
      <c r="C81" s="247">
        <v>52218</v>
      </c>
      <c r="D81" s="248">
        <v>22</v>
      </c>
      <c r="E81" s="240">
        <v>7869951</v>
      </c>
      <c r="F81" s="181">
        <f t="shared" si="37"/>
        <v>5.5025628495018575E-2</v>
      </c>
      <c r="G81" s="240">
        <v>8303000</v>
      </c>
      <c r="H81" s="182">
        <v>7.0000000000000007E-2</v>
      </c>
      <c r="I81" s="183">
        <f t="shared" si="53"/>
        <v>8884210</v>
      </c>
      <c r="J81" s="182">
        <v>0.1</v>
      </c>
      <c r="K81" s="183">
        <f t="shared" si="54"/>
        <v>9133300</v>
      </c>
      <c r="L81" s="195">
        <v>33</v>
      </c>
      <c r="M81" s="249">
        <v>270262650</v>
      </c>
      <c r="N81" s="237">
        <v>37</v>
      </c>
      <c r="O81" s="236">
        <v>303474650</v>
      </c>
      <c r="P81" s="194">
        <f t="shared" si="55"/>
        <v>573737300</v>
      </c>
      <c r="Q81" s="194">
        <f t="shared" si="56"/>
        <v>256166905.05000001</v>
      </c>
      <c r="R81" s="194">
        <f t="shared" si="46"/>
        <v>266541664.70452502</v>
      </c>
      <c r="S81" s="194">
        <f t="shared" si="57"/>
        <v>3720985.2954749763</v>
      </c>
      <c r="T81" s="194">
        <f t="shared" si="58"/>
        <v>287646709.05000001</v>
      </c>
      <c r="U81" s="194">
        <f t="shared" si="49"/>
        <v>299296400.76652503</v>
      </c>
      <c r="V81" s="194">
        <f t="shared" si="59"/>
        <v>4178249.2334749699</v>
      </c>
      <c r="W81" s="194">
        <f t="shared" si="60"/>
        <v>7899234.5289499462</v>
      </c>
      <c r="Y81" s="186"/>
      <c r="AA81" s="186"/>
      <c r="AB81" s="187"/>
      <c r="AC81" s="187"/>
      <c r="AD81" s="187"/>
      <c r="AE81" s="187"/>
      <c r="AF81" s="187"/>
      <c r="AG81" s="186"/>
    </row>
    <row r="82" spans="2:33" s="206" customFormat="1" ht="15.5" x14ac:dyDescent="0.35">
      <c r="B82" s="209" t="s">
        <v>42</v>
      </c>
      <c r="C82" s="210">
        <v>19128</v>
      </c>
      <c r="D82" s="211">
        <v>26</v>
      </c>
      <c r="E82" s="200">
        <v>8368473</v>
      </c>
      <c r="F82" s="244">
        <f t="shared" si="37"/>
        <v>6.297445185032835E-5</v>
      </c>
      <c r="G82" s="200">
        <v>8369000</v>
      </c>
      <c r="H82" s="202">
        <v>7.0000000000000007E-2</v>
      </c>
      <c r="I82" s="203">
        <f t="shared" si="53"/>
        <v>8954830</v>
      </c>
      <c r="J82" s="202">
        <v>0.1</v>
      </c>
      <c r="K82" s="203">
        <f t="shared" si="54"/>
        <v>9205900</v>
      </c>
      <c r="L82" s="204">
        <v>44</v>
      </c>
      <c r="M82" s="200">
        <v>359736000</v>
      </c>
      <c r="N82" s="204">
        <v>52</v>
      </c>
      <c r="O82" s="205">
        <v>422503500</v>
      </c>
      <c r="P82" s="205">
        <f t="shared" si="55"/>
        <v>782239500</v>
      </c>
      <c r="Q82" s="205">
        <f t="shared" si="56"/>
        <v>359713347.24913377</v>
      </c>
      <c r="R82" s="205">
        <f t="shared" si="46"/>
        <v>374281737.8127237</v>
      </c>
      <c r="S82" s="205">
        <f t="shared" si="57"/>
        <v>-14545737.812723696</v>
      </c>
      <c r="T82" s="205">
        <f t="shared" si="58"/>
        <v>422476894.74913377</v>
      </c>
      <c r="U82" s="205">
        <f t="shared" si="49"/>
        <v>439587208.98647368</v>
      </c>
      <c r="V82" s="205">
        <f t="shared" si="59"/>
        <v>-17083708.98647368</v>
      </c>
      <c r="W82" s="205">
        <f t="shared" si="60"/>
        <v>-31629446.799197376</v>
      </c>
      <c r="Y82" s="207"/>
      <c r="AA82" s="207"/>
      <c r="AB82" s="208"/>
      <c r="AC82" s="208"/>
      <c r="AD82" s="208"/>
      <c r="AE82" s="208"/>
      <c r="AF82" s="208"/>
      <c r="AG82" s="207"/>
    </row>
    <row r="83" spans="2:33" s="185" customFormat="1" ht="15.5" x14ac:dyDescent="0.35">
      <c r="B83" s="246" t="s">
        <v>43</v>
      </c>
      <c r="C83" s="247">
        <v>102611</v>
      </c>
      <c r="D83" s="248">
        <v>26</v>
      </c>
      <c r="E83" s="240">
        <v>7588177</v>
      </c>
      <c r="F83" s="181">
        <f t="shared" si="37"/>
        <v>5.5062368734941192E-2</v>
      </c>
      <c r="G83" s="240">
        <v>8006000</v>
      </c>
      <c r="H83" s="182">
        <v>7.0000000000000007E-2</v>
      </c>
      <c r="I83" s="183">
        <f t="shared" si="53"/>
        <v>8566420</v>
      </c>
      <c r="J83" s="182">
        <v>0.1</v>
      </c>
      <c r="K83" s="183">
        <f t="shared" si="54"/>
        <v>8806600</v>
      </c>
      <c r="L83" s="195">
        <v>25</v>
      </c>
      <c r="M83" s="240">
        <v>197748200</v>
      </c>
      <c r="N83" s="195">
        <v>31</v>
      </c>
      <c r="O83" s="194">
        <v>246985100</v>
      </c>
      <c r="P83" s="194">
        <f t="shared" si="55"/>
        <v>444733300</v>
      </c>
      <c r="Q83" s="194">
        <f t="shared" si="56"/>
        <v>187427971.90000001</v>
      </c>
      <c r="R83" s="194">
        <f t="shared" si="46"/>
        <v>195018804.76195002</v>
      </c>
      <c r="S83" s="194">
        <f t="shared" si="57"/>
        <v>2729395.238049984</v>
      </c>
      <c r="T83" s="194">
        <f t="shared" si="58"/>
        <v>234095260.45000002</v>
      </c>
      <c r="U83" s="194">
        <f t="shared" si="49"/>
        <v>243576118.49822503</v>
      </c>
      <c r="V83" s="194">
        <f t="shared" si="59"/>
        <v>3408981.5017749667</v>
      </c>
      <c r="W83" s="194">
        <f t="shared" si="60"/>
        <v>6138376.7398249507</v>
      </c>
      <c r="Y83" s="186"/>
      <c r="AA83" s="186"/>
      <c r="AB83" s="187"/>
      <c r="AC83" s="187"/>
      <c r="AD83" s="187"/>
      <c r="AE83" s="187"/>
      <c r="AF83" s="187"/>
      <c r="AG83" s="186"/>
    </row>
    <row r="84" spans="2:33" s="185" customFormat="1" ht="15.5" x14ac:dyDescent="0.35">
      <c r="B84" s="253" t="s">
        <v>44</v>
      </c>
      <c r="C84" s="254">
        <v>54375</v>
      </c>
      <c r="D84" s="255">
        <v>33</v>
      </c>
      <c r="E84" s="240">
        <v>8614778</v>
      </c>
      <c r="F84" s="181">
        <f t="shared" si="37"/>
        <v>5.504750093386046E-2</v>
      </c>
      <c r="G84" s="240">
        <v>9089000</v>
      </c>
      <c r="H84" s="182">
        <v>7.0000000000000007E-2</v>
      </c>
      <c r="I84" s="183">
        <f t="shared" si="53"/>
        <v>9725230</v>
      </c>
      <c r="J84" s="182">
        <v>0.1</v>
      </c>
      <c r="K84" s="183">
        <f t="shared" si="54"/>
        <v>9997900</v>
      </c>
      <c r="L84" s="195">
        <v>0</v>
      </c>
      <c r="M84" s="194">
        <f>+L84*G84</f>
        <v>0</v>
      </c>
      <c r="N84" s="195">
        <v>15</v>
      </c>
      <c r="O84" s="236">
        <v>129518250</v>
      </c>
      <c r="P84" s="194">
        <f t="shared" si="55"/>
        <v>129518250</v>
      </c>
      <c r="Q84" s="194">
        <f t="shared" si="56"/>
        <v>0</v>
      </c>
      <c r="R84" s="194">
        <f t="shared" si="46"/>
        <v>0</v>
      </c>
      <c r="S84" s="194">
        <f t="shared" si="57"/>
        <v>0</v>
      </c>
      <c r="T84" s="194">
        <f t="shared" si="58"/>
        <v>122760586.5</v>
      </c>
      <c r="U84" s="194">
        <f t="shared" si="49"/>
        <v>127732390.25325</v>
      </c>
      <c r="V84" s="194">
        <f t="shared" si="59"/>
        <v>1785859.7467499971</v>
      </c>
      <c r="W84" s="194">
        <f t="shared" si="60"/>
        <v>1785859.7467499971</v>
      </c>
      <c r="Y84" s="186"/>
      <c r="AA84" s="186"/>
      <c r="AB84" s="187"/>
      <c r="AC84" s="187"/>
      <c r="AD84" s="187"/>
      <c r="AE84" s="187"/>
      <c r="AF84" s="187"/>
      <c r="AG84" s="186"/>
    </row>
    <row r="85" spans="2:33" s="185" customFormat="1" ht="15.5" x14ac:dyDescent="0.35">
      <c r="B85" s="250" t="s">
        <v>45</v>
      </c>
      <c r="C85" s="251">
        <v>53012</v>
      </c>
      <c r="D85" s="252">
        <v>48</v>
      </c>
      <c r="E85" s="240">
        <v>13087685</v>
      </c>
      <c r="F85" s="181">
        <f t="shared" si="37"/>
        <v>5.503761742431923E-2</v>
      </c>
      <c r="G85" s="240">
        <v>13808000</v>
      </c>
      <c r="H85" s="182">
        <v>7.0000000000000007E-2</v>
      </c>
      <c r="I85" s="183">
        <f t="shared" si="53"/>
        <v>14774560</v>
      </c>
      <c r="J85" s="182">
        <v>0.1</v>
      </c>
      <c r="K85" s="183">
        <f t="shared" si="54"/>
        <v>15188800</v>
      </c>
      <c r="L85" s="195">
        <v>108</v>
      </c>
      <c r="M85" s="249">
        <v>1326868000</v>
      </c>
      <c r="N85" s="195">
        <v>116</v>
      </c>
      <c r="O85" s="236">
        <v>1395908000</v>
      </c>
      <c r="P85" s="194">
        <f t="shared" si="55"/>
        <v>2722776000</v>
      </c>
      <c r="Q85" s="194">
        <f t="shared" si="56"/>
        <v>1257649943.5530126</v>
      </c>
      <c r="R85" s="194">
        <f t="shared" si="46"/>
        <v>1308584766.2669096</v>
      </c>
      <c r="S85" s="194">
        <f t="shared" si="57"/>
        <v>18283233.733090401</v>
      </c>
      <c r="T85" s="194">
        <f t="shared" si="58"/>
        <v>1323088368.5530126</v>
      </c>
      <c r="U85" s="194">
        <f t="shared" si="49"/>
        <v>1376673447.4794097</v>
      </c>
      <c r="V85" s="194">
        <f t="shared" si="59"/>
        <v>19234552.520590305</v>
      </c>
      <c r="W85" s="194">
        <f t="shared" si="60"/>
        <v>37517786.253680706</v>
      </c>
      <c r="Y85" s="186"/>
      <c r="AA85" s="186"/>
      <c r="AB85" s="187"/>
      <c r="AC85" s="187"/>
      <c r="AD85" s="187"/>
      <c r="AE85" s="187"/>
      <c r="AF85" s="187"/>
      <c r="AG85" s="186"/>
    </row>
    <row r="86" spans="2:33" s="229" customFormat="1" ht="15.5" x14ac:dyDescent="0.35">
      <c r="B86" s="221" t="s">
        <v>98</v>
      </c>
      <c r="C86" s="222"/>
      <c r="D86" s="223">
        <v>50</v>
      </c>
      <c r="E86" s="224">
        <v>10009852</v>
      </c>
      <c r="F86" s="245">
        <f t="shared" si="37"/>
        <v>5.50605543418623E-2</v>
      </c>
      <c r="G86" s="224">
        <v>10561000</v>
      </c>
      <c r="H86" s="225">
        <v>7.0000000000000007E-2</v>
      </c>
      <c r="I86" s="226">
        <f t="shared" si="53"/>
        <v>11300270</v>
      </c>
      <c r="J86" s="225">
        <v>0.1</v>
      </c>
      <c r="K86" s="226">
        <f t="shared" si="54"/>
        <v>11617100</v>
      </c>
      <c r="L86" s="227"/>
      <c r="M86" s="228">
        <f>+L86*G86</f>
        <v>0</v>
      </c>
      <c r="N86" s="227"/>
      <c r="O86" s="228">
        <f>+N86*G86</f>
        <v>0</v>
      </c>
      <c r="P86" s="228">
        <f t="shared" si="55"/>
        <v>0</v>
      </c>
      <c r="Q86" s="228">
        <f t="shared" si="56"/>
        <v>0</v>
      </c>
      <c r="R86" s="228">
        <f t="shared" si="46"/>
        <v>0</v>
      </c>
      <c r="S86" s="228">
        <f t="shared" si="57"/>
        <v>0</v>
      </c>
      <c r="T86" s="228">
        <f t="shared" si="58"/>
        <v>0</v>
      </c>
      <c r="U86" s="228">
        <f t="shared" si="49"/>
        <v>0</v>
      </c>
      <c r="V86" s="228">
        <f t="shared" si="59"/>
        <v>0</v>
      </c>
      <c r="W86" s="228">
        <f t="shared" si="60"/>
        <v>0</v>
      </c>
      <c r="Y86" s="230"/>
      <c r="AA86" s="230"/>
      <c r="AB86" s="231"/>
      <c r="AC86" s="231"/>
      <c r="AD86" s="231"/>
      <c r="AE86" s="231"/>
      <c r="AF86" s="231"/>
      <c r="AG86" s="230"/>
    </row>
    <row r="87" spans="2:33" s="185" customFormat="1" ht="15.5" x14ac:dyDescent="0.35">
      <c r="B87" s="246" t="s">
        <v>99</v>
      </c>
      <c r="C87" s="254">
        <v>103784</v>
      </c>
      <c r="D87" s="511">
        <v>50</v>
      </c>
      <c r="E87" s="240">
        <v>11287685</v>
      </c>
      <c r="F87" s="181">
        <f t="shared" si="37"/>
        <v>5.5043616117919747E-2</v>
      </c>
      <c r="G87" s="240">
        <v>11909000</v>
      </c>
      <c r="H87" s="182">
        <v>7.0000000000000007E-2</v>
      </c>
      <c r="I87" s="183">
        <f t="shared" si="53"/>
        <v>12742630</v>
      </c>
      <c r="J87" s="182">
        <v>0.1</v>
      </c>
      <c r="K87" s="183">
        <f t="shared" si="54"/>
        <v>13099900</v>
      </c>
      <c r="L87" s="513">
        <v>23</v>
      </c>
      <c r="M87" s="501">
        <v>246533256</v>
      </c>
      <c r="N87" s="516">
        <v>27</v>
      </c>
      <c r="O87" s="501">
        <v>300736162</v>
      </c>
      <c r="P87" s="497">
        <f>+M87+O87</f>
        <v>547269418</v>
      </c>
      <c r="Q87" s="497">
        <f t="shared" si="56"/>
        <v>233671150.87348726</v>
      </c>
      <c r="R87" s="497">
        <f t="shared" si="46"/>
        <v>243134832.4838635</v>
      </c>
      <c r="S87" s="497">
        <f t="shared" si="57"/>
        <v>3398423.5161364973</v>
      </c>
      <c r="T87" s="497">
        <f t="shared" si="58"/>
        <v>285046188.99697453</v>
      </c>
      <c r="U87" s="497">
        <f t="shared" si="49"/>
        <v>296590559.65135199</v>
      </c>
      <c r="V87" s="497">
        <f>O87-U87</f>
        <v>4145602.3486480117</v>
      </c>
      <c r="W87" s="497">
        <f t="shared" si="60"/>
        <v>7544025.8647845089</v>
      </c>
      <c r="Y87" s="186"/>
      <c r="AA87" s="186"/>
      <c r="AB87" s="187"/>
      <c r="AC87" s="187"/>
      <c r="AD87" s="187"/>
      <c r="AE87" s="187"/>
      <c r="AF87" s="187"/>
      <c r="AG87" s="186"/>
    </row>
    <row r="88" spans="2:33" s="185" customFormat="1" ht="15.5" x14ac:dyDescent="0.35">
      <c r="B88" s="250" t="s">
        <v>100</v>
      </c>
      <c r="C88" s="254">
        <v>103784</v>
      </c>
      <c r="D88" s="511"/>
      <c r="E88" s="240">
        <v>9814778</v>
      </c>
      <c r="F88" s="181">
        <f t="shared" si="37"/>
        <v>5.5041693250728718E-2</v>
      </c>
      <c r="G88" s="240">
        <v>10355000</v>
      </c>
      <c r="H88" s="182">
        <v>7.0000000000000007E-2</v>
      </c>
      <c r="I88" s="183">
        <f t="shared" si="53"/>
        <v>11079850</v>
      </c>
      <c r="J88" s="182">
        <v>0.1</v>
      </c>
      <c r="K88" s="183">
        <f t="shared" si="54"/>
        <v>11390500</v>
      </c>
      <c r="L88" s="514"/>
      <c r="M88" s="503"/>
      <c r="N88" s="517"/>
      <c r="O88" s="503"/>
      <c r="P88" s="504"/>
      <c r="Q88" s="504"/>
      <c r="R88" s="504"/>
      <c r="S88" s="504"/>
      <c r="T88" s="504"/>
      <c r="U88" s="504"/>
      <c r="V88" s="504"/>
      <c r="W88" s="504"/>
      <c r="Y88" s="186"/>
      <c r="AA88" s="186"/>
      <c r="AB88" s="187"/>
      <c r="AC88" s="187"/>
      <c r="AD88" s="187"/>
      <c r="AE88" s="187"/>
      <c r="AF88" s="187"/>
      <c r="AG88" s="186"/>
    </row>
    <row r="89" spans="2:33" s="185" customFormat="1" ht="15.5" x14ac:dyDescent="0.35">
      <c r="B89" s="256" t="s">
        <v>101</v>
      </c>
      <c r="C89" s="251">
        <v>103784</v>
      </c>
      <c r="D89" s="512"/>
      <c r="E89" s="240">
        <v>9990148</v>
      </c>
      <c r="F89" s="181">
        <f t="shared" si="37"/>
        <v>2.1206092242076924E-2</v>
      </c>
      <c r="G89" s="240">
        <v>10202000</v>
      </c>
      <c r="H89" s="182">
        <v>7.0000000000000007E-2</v>
      </c>
      <c r="I89" s="183">
        <f t="shared" si="53"/>
        <v>10916140</v>
      </c>
      <c r="J89" s="182">
        <v>0.1</v>
      </c>
      <c r="K89" s="183">
        <f t="shared" si="54"/>
        <v>11222200</v>
      </c>
      <c r="L89" s="515"/>
      <c r="M89" s="502"/>
      <c r="N89" s="518"/>
      <c r="O89" s="502"/>
      <c r="P89" s="498"/>
      <c r="Q89" s="498"/>
      <c r="R89" s="498"/>
      <c r="S89" s="498"/>
      <c r="T89" s="498"/>
      <c r="U89" s="498"/>
      <c r="V89" s="498"/>
      <c r="W89" s="498"/>
      <c r="Y89" s="186"/>
      <c r="AA89" s="186"/>
      <c r="AB89" s="187"/>
      <c r="AC89" s="187"/>
      <c r="AD89" s="187"/>
      <c r="AE89" s="187"/>
      <c r="AF89" s="187"/>
      <c r="AG89" s="186"/>
    </row>
    <row r="90" spans="2:33" s="185" customFormat="1" ht="15.5" x14ac:dyDescent="0.35">
      <c r="B90" s="246" t="s">
        <v>46</v>
      </c>
      <c r="C90" s="247">
        <v>102758</v>
      </c>
      <c r="D90" s="248">
        <v>52</v>
      </c>
      <c r="E90" s="240">
        <v>9351724</v>
      </c>
      <c r="F90" s="181">
        <f t="shared" si="37"/>
        <v>5.5099573084064435E-2</v>
      </c>
      <c r="G90" s="240">
        <v>9867000</v>
      </c>
      <c r="H90" s="182">
        <v>7.0000000000000007E-2</v>
      </c>
      <c r="I90" s="183">
        <f t="shared" si="53"/>
        <v>10557690</v>
      </c>
      <c r="J90" s="182">
        <v>0.1</v>
      </c>
      <c r="K90" s="183">
        <f t="shared" si="54"/>
        <v>10853700</v>
      </c>
      <c r="L90" s="195">
        <v>46</v>
      </c>
      <c r="M90" s="249">
        <v>405080250</v>
      </c>
      <c r="N90" s="237">
        <v>56</v>
      </c>
      <c r="O90" s="236">
        <v>488949750</v>
      </c>
      <c r="P90" s="194">
        <f t="shared" ref="P90:P96" si="61">+M90+O90</f>
        <v>894030000</v>
      </c>
      <c r="Q90" s="194">
        <f>M90/(1+F90)</f>
        <v>383926086.53602922</v>
      </c>
      <c r="R90" s="194">
        <f t="shared" ref="R90:R108" si="62">($Q90*$R$10)+$Q90</f>
        <v>399475093.0407384</v>
      </c>
      <c r="S90" s="194">
        <f t="shared" ref="S90:S96" si="63">M90-R90</f>
        <v>5605156.9592615962</v>
      </c>
      <c r="T90" s="194">
        <f>O90/(1+F90)</f>
        <v>463415740.53602922</v>
      </c>
      <c r="U90" s="194">
        <f t="shared" ref="U90:U108" si="64">($T90*$U$10)+$T90</f>
        <v>482184078.02773839</v>
      </c>
      <c r="V90" s="194">
        <f t="shared" ref="V90:V96" si="65">O90-U90</f>
        <v>6765671.9722616076</v>
      </c>
      <c r="W90" s="194">
        <f t="shared" ref="W90:W96" si="66">S90+V90</f>
        <v>12370828.931523204</v>
      </c>
      <c r="Y90" s="186"/>
      <c r="AA90" s="186"/>
      <c r="AB90" s="187"/>
      <c r="AC90" s="187"/>
      <c r="AD90" s="187"/>
      <c r="AE90" s="187"/>
      <c r="AF90" s="187"/>
      <c r="AG90" s="186"/>
    </row>
    <row r="91" spans="2:33" s="206" customFormat="1" ht="15.5" x14ac:dyDescent="0.35">
      <c r="B91" s="212" t="s">
        <v>47</v>
      </c>
      <c r="C91" s="213"/>
      <c r="D91" s="214">
        <v>50</v>
      </c>
      <c r="E91" s="200">
        <v>12649261</v>
      </c>
      <c r="F91" s="244">
        <f t="shared" si="37"/>
        <v>5.8422385307732583E-5</v>
      </c>
      <c r="G91" s="200">
        <v>12650000</v>
      </c>
      <c r="H91" s="202">
        <v>7.0000000000000007E-2</v>
      </c>
      <c r="I91" s="203">
        <f t="shared" si="53"/>
        <v>13535500</v>
      </c>
      <c r="J91" s="202">
        <v>0.1</v>
      </c>
      <c r="K91" s="203">
        <f t="shared" si="54"/>
        <v>13915000</v>
      </c>
      <c r="L91" s="204">
        <v>21</v>
      </c>
      <c r="M91" s="200">
        <v>250018573</v>
      </c>
      <c r="N91" s="204">
        <v>28</v>
      </c>
      <c r="O91" s="205">
        <v>316883387</v>
      </c>
      <c r="P91" s="205">
        <f t="shared" si="61"/>
        <v>566901960</v>
      </c>
      <c r="Q91" s="205">
        <f>M91/(1+F91)</f>
        <v>250003967.17190143</v>
      </c>
      <c r="R91" s="205">
        <f t="shared" si="62"/>
        <v>260129127.84236345</v>
      </c>
      <c r="S91" s="215">
        <f>M91-R91</f>
        <v>-10110554.842363447</v>
      </c>
      <c r="T91" s="205">
        <f>O91/(1+F91)</f>
        <v>316864874.99818236</v>
      </c>
      <c r="U91" s="205">
        <f t="shared" si="64"/>
        <v>329697902.43560874</v>
      </c>
      <c r="V91" s="205">
        <f t="shared" si="65"/>
        <v>-12814515.435608745</v>
      </c>
      <c r="W91" s="205">
        <f t="shared" si="66"/>
        <v>-22925070.277972192</v>
      </c>
      <c r="Y91" s="207"/>
      <c r="AA91" s="207"/>
      <c r="AB91" s="208"/>
      <c r="AC91" s="208"/>
      <c r="AD91" s="208"/>
      <c r="AE91" s="208"/>
      <c r="AF91" s="208"/>
      <c r="AG91" s="207"/>
    </row>
    <row r="92" spans="2:33" s="185" customFormat="1" ht="15.5" x14ac:dyDescent="0.35">
      <c r="B92" s="250" t="s">
        <v>163</v>
      </c>
      <c r="C92" s="251">
        <v>105155</v>
      </c>
      <c r="D92" s="252">
        <v>50</v>
      </c>
      <c r="E92" s="240">
        <v>15244000</v>
      </c>
      <c r="F92" s="181">
        <f t="shared" si="37"/>
        <v>5.5038047756494457E-2</v>
      </c>
      <c r="G92" s="240">
        <v>16083000</v>
      </c>
      <c r="H92" s="182">
        <v>7.0000000000000007E-2</v>
      </c>
      <c r="I92" s="183">
        <f t="shared" si="53"/>
        <v>17208810</v>
      </c>
      <c r="J92" s="182">
        <v>0.1</v>
      </c>
      <c r="K92" s="183">
        <f t="shared" si="54"/>
        <v>17691300</v>
      </c>
      <c r="L92" s="513">
        <v>14</v>
      </c>
      <c r="M92" s="501">
        <v>200254100</v>
      </c>
      <c r="N92" s="516">
        <v>30</v>
      </c>
      <c r="O92" s="501">
        <v>457582100</v>
      </c>
      <c r="P92" s="497">
        <f>+M92+O92</f>
        <v>657836200</v>
      </c>
      <c r="Q92" s="497">
        <f>M92/(1+F92)</f>
        <v>189807467.53715101</v>
      </c>
      <c r="R92" s="497">
        <f>($Q92*$R$10)+$Q92</f>
        <v>197494669.97240561</v>
      </c>
      <c r="S92" s="497">
        <f>M92-R92</f>
        <v>2759430.0275943875</v>
      </c>
      <c r="T92" s="497">
        <f>O92/(1+F92)</f>
        <v>433711467.53715098</v>
      </c>
      <c r="U92" s="497">
        <f>($T92*$U$10)+$T92</f>
        <v>451276781.97240561</v>
      </c>
      <c r="V92" s="497">
        <f>O92-U92</f>
        <v>6305318.0275943875</v>
      </c>
      <c r="W92" s="497">
        <f t="shared" si="66"/>
        <v>9064748.0551887751</v>
      </c>
      <c r="Y92" s="186"/>
      <c r="AA92" s="186"/>
      <c r="AB92" s="187"/>
      <c r="AC92" s="187"/>
      <c r="AD92" s="187"/>
      <c r="AE92" s="187"/>
      <c r="AF92" s="187"/>
      <c r="AG92" s="186"/>
    </row>
    <row r="93" spans="2:33" s="185" customFormat="1" ht="15.5" x14ac:dyDescent="0.35">
      <c r="B93" s="250" t="s">
        <v>132</v>
      </c>
      <c r="C93" s="251">
        <v>105155</v>
      </c>
      <c r="D93" s="252">
        <v>50</v>
      </c>
      <c r="E93" s="240">
        <v>15244000</v>
      </c>
      <c r="F93" s="181">
        <f t="shared" si="37"/>
        <v>0</v>
      </c>
      <c r="G93" s="240">
        <v>15244000</v>
      </c>
      <c r="H93" s="182">
        <v>7.0000000000000007E-2</v>
      </c>
      <c r="I93" s="183">
        <f t="shared" si="53"/>
        <v>16311080</v>
      </c>
      <c r="J93" s="182">
        <v>0.1</v>
      </c>
      <c r="K93" s="183">
        <f t="shared" si="54"/>
        <v>16768400</v>
      </c>
      <c r="L93" s="514"/>
      <c r="M93" s="503"/>
      <c r="N93" s="517"/>
      <c r="O93" s="503"/>
      <c r="P93" s="504"/>
      <c r="Q93" s="504"/>
      <c r="R93" s="504"/>
      <c r="S93" s="504"/>
      <c r="T93" s="504"/>
      <c r="U93" s="504"/>
      <c r="V93" s="504"/>
      <c r="W93" s="504"/>
      <c r="Y93" s="186"/>
      <c r="AA93" s="186"/>
      <c r="AB93" s="187"/>
      <c r="AC93" s="187"/>
      <c r="AD93" s="187"/>
      <c r="AE93" s="187"/>
      <c r="AF93" s="187"/>
      <c r="AG93" s="186"/>
    </row>
    <row r="94" spans="2:33" s="185" customFormat="1" ht="15.5" x14ac:dyDescent="0.35">
      <c r="B94" s="250" t="s">
        <v>133</v>
      </c>
      <c r="C94" s="251">
        <v>105155</v>
      </c>
      <c r="D94" s="252">
        <v>50</v>
      </c>
      <c r="E94" s="240">
        <v>14800000</v>
      </c>
      <c r="F94" s="181">
        <f t="shared" si="37"/>
        <v>0</v>
      </c>
      <c r="G94" s="240">
        <v>14800000</v>
      </c>
      <c r="H94" s="182">
        <v>7.0000000000000007E-2</v>
      </c>
      <c r="I94" s="183">
        <f t="shared" si="53"/>
        <v>15836000</v>
      </c>
      <c r="J94" s="182">
        <v>0.1</v>
      </c>
      <c r="K94" s="183">
        <f t="shared" si="54"/>
        <v>16280000</v>
      </c>
      <c r="L94" s="515"/>
      <c r="M94" s="502"/>
      <c r="N94" s="518"/>
      <c r="O94" s="502"/>
      <c r="P94" s="498"/>
      <c r="Q94" s="498"/>
      <c r="R94" s="498"/>
      <c r="S94" s="498"/>
      <c r="T94" s="498"/>
      <c r="U94" s="498"/>
      <c r="V94" s="498"/>
      <c r="W94" s="498"/>
      <c r="Y94" s="186"/>
      <c r="AA94" s="186"/>
      <c r="AB94" s="187"/>
      <c r="AC94" s="187"/>
      <c r="AD94" s="187"/>
      <c r="AE94" s="187"/>
      <c r="AF94" s="187"/>
      <c r="AG94" s="186"/>
    </row>
    <row r="95" spans="2:33" s="185" customFormat="1" ht="15.5" x14ac:dyDescent="0.35">
      <c r="B95" s="246" t="s">
        <v>126</v>
      </c>
      <c r="C95" s="247">
        <v>105077</v>
      </c>
      <c r="D95" s="248">
        <v>52</v>
      </c>
      <c r="E95" s="240">
        <v>12087882</v>
      </c>
      <c r="F95" s="181">
        <f t="shared" si="37"/>
        <v>5.5023535140399371E-2</v>
      </c>
      <c r="G95" s="240">
        <v>12753000</v>
      </c>
      <c r="H95" s="182">
        <v>7.0000000000000007E-2</v>
      </c>
      <c r="I95" s="183">
        <f t="shared" si="53"/>
        <v>13645710</v>
      </c>
      <c r="J95" s="182">
        <v>0.1</v>
      </c>
      <c r="K95" s="183">
        <f t="shared" si="54"/>
        <v>14028300</v>
      </c>
      <c r="L95" s="195">
        <v>1</v>
      </c>
      <c r="M95" s="257">
        <v>7861320</v>
      </c>
      <c r="N95" s="237">
        <v>8</v>
      </c>
      <c r="O95" s="236">
        <v>67109634</v>
      </c>
      <c r="P95" s="194">
        <f>+M95+O95</f>
        <v>74970954</v>
      </c>
      <c r="Q95" s="194">
        <f>M95/(1+F95)</f>
        <v>7451321.9261538452</v>
      </c>
      <c r="R95" s="194">
        <f t="shared" si="62"/>
        <v>7753100.4641630761</v>
      </c>
      <c r="S95" s="194">
        <f t="shared" si="63"/>
        <v>108219.53583692387</v>
      </c>
      <c r="T95" s="194">
        <f>O95/(1+F95)</f>
        <v>63609608.47292307</v>
      </c>
      <c r="U95" s="194">
        <f t="shared" si="64"/>
        <v>66185797.616076455</v>
      </c>
      <c r="V95" s="194">
        <f t="shared" si="65"/>
        <v>923836.38392354548</v>
      </c>
      <c r="W95" s="194">
        <f t="shared" si="66"/>
        <v>1032055.9197604693</v>
      </c>
      <c r="Y95" s="186"/>
      <c r="AA95" s="186"/>
      <c r="AB95" s="187"/>
      <c r="AC95" s="187"/>
      <c r="AD95" s="187"/>
      <c r="AE95" s="187"/>
      <c r="AF95" s="187"/>
      <c r="AG95" s="186"/>
    </row>
    <row r="96" spans="2:33" s="185" customFormat="1" ht="15.5" x14ac:dyDescent="0.35">
      <c r="B96" s="250" t="s">
        <v>127</v>
      </c>
      <c r="C96" s="251">
        <v>105642</v>
      </c>
      <c r="D96" s="252">
        <v>112</v>
      </c>
      <c r="E96" s="240">
        <v>12087685</v>
      </c>
      <c r="F96" s="181">
        <f t="shared" si="37"/>
        <v>5.5040729469704175E-2</v>
      </c>
      <c r="G96" s="240">
        <v>12753000</v>
      </c>
      <c r="H96" s="182">
        <v>7.0000000000000007E-2</v>
      </c>
      <c r="I96" s="183">
        <f t="shared" si="53"/>
        <v>13645710</v>
      </c>
      <c r="J96" s="182">
        <v>0.1</v>
      </c>
      <c r="K96" s="183">
        <f t="shared" si="54"/>
        <v>14028300</v>
      </c>
      <c r="L96" s="195">
        <v>8</v>
      </c>
      <c r="M96" s="249">
        <v>68664550</v>
      </c>
      <c r="N96" s="237">
        <v>11</v>
      </c>
      <c r="O96" s="236">
        <v>105963050</v>
      </c>
      <c r="P96" s="194">
        <f t="shared" si="61"/>
        <v>174627600</v>
      </c>
      <c r="Q96" s="194">
        <f>M96/(1+F96)</f>
        <v>65082368.938034184</v>
      </c>
      <c r="R96" s="194">
        <f t="shared" si="62"/>
        <v>67718204.880024567</v>
      </c>
      <c r="S96" s="194">
        <f t="shared" si="63"/>
        <v>946345.11997543275</v>
      </c>
      <c r="T96" s="194">
        <f>O96/(1+F96)</f>
        <v>100435032.54444051</v>
      </c>
      <c r="U96" s="194">
        <f t="shared" si="64"/>
        <v>104502651.36249036</v>
      </c>
      <c r="V96" s="194">
        <f t="shared" si="65"/>
        <v>1460398.637509644</v>
      </c>
      <c r="W96" s="194">
        <f t="shared" si="66"/>
        <v>2406743.7574850768</v>
      </c>
      <c r="Y96" s="186"/>
      <c r="AA96" s="186"/>
      <c r="AB96" s="187"/>
      <c r="AC96" s="187"/>
      <c r="AD96" s="187"/>
      <c r="AE96" s="187"/>
      <c r="AG96" s="186"/>
    </row>
    <row r="97" spans="2:33" ht="13" x14ac:dyDescent="0.3">
      <c r="B97" s="62" t="s">
        <v>37</v>
      </c>
      <c r="C97" s="62"/>
      <c r="D97" s="115"/>
      <c r="E97" s="158"/>
      <c r="F97" s="142"/>
      <c r="G97" s="167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Y97" s="124"/>
      <c r="AA97" s="124"/>
      <c r="AB97" s="123"/>
      <c r="AC97" s="123"/>
      <c r="AD97" s="123"/>
      <c r="AE97" s="123"/>
      <c r="AG97" s="124"/>
    </row>
    <row r="98" spans="2:33" s="206" customFormat="1" ht="15.5" x14ac:dyDescent="0.35">
      <c r="B98" s="197" t="s">
        <v>55</v>
      </c>
      <c r="C98" s="198">
        <v>11965</v>
      </c>
      <c r="D98" s="199">
        <v>20</v>
      </c>
      <c r="E98" s="200">
        <v>5081773</v>
      </c>
      <c r="F98" s="244">
        <f t="shared" si="37"/>
        <v>4.4669449028811314E-5</v>
      </c>
      <c r="G98" s="200">
        <v>5082000</v>
      </c>
      <c r="H98" s="202">
        <v>7.0000000000000007E-2</v>
      </c>
      <c r="I98" s="203">
        <f t="shared" ref="I98:I110" si="67">+(G98*H98)+G98</f>
        <v>5437740</v>
      </c>
      <c r="J98" s="202">
        <v>0.1</v>
      </c>
      <c r="K98" s="203">
        <f t="shared" ref="K98:K110" si="68">+(G98*J98)+G98</f>
        <v>5590200</v>
      </c>
      <c r="L98" s="204">
        <v>58</v>
      </c>
      <c r="M98" s="205">
        <v>285182200</v>
      </c>
      <c r="N98" s="204">
        <v>51</v>
      </c>
      <c r="O98" s="205">
        <v>250370500</v>
      </c>
      <c r="P98" s="205">
        <f t="shared" ref="P98:P108" si="69">+M98+O98</f>
        <v>535552700</v>
      </c>
      <c r="Q98" s="205">
        <f t="shared" ref="Q98:Q108" si="70">M98/(1+F98)</f>
        <v>285169461.63726884</v>
      </c>
      <c r="R98" s="205">
        <f t="shared" si="62"/>
        <v>296718824.83357823</v>
      </c>
      <c r="S98" s="205">
        <f>M98-R98</f>
        <v>-11536624.833578229</v>
      </c>
      <c r="T98" s="205">
        <f t="shared" ref="T98:T108" si="71">O98/(1+F98)</f>
        <v>250359316.58726883</v>
      </c>
      <c r="U98" s="205">
        <f t="shared" si="64"/>
        <v>260498868.90905321</v>
      </c>
      <c r="V98" s="205">
        <f t="shared" ref="V98:V108" si="72">O98-U98</f>
        <v>-10128368.909053206</v>
      </c>
      <c r="W98" s="205">
        <f t="shared" ref="W98:W108" si="73">S98+V98</f>
        <v>-21664993.742631435</v>
      </c>
      <c r="Y98" s="207"/>
      <c r="AA98" s="207"/>
      <c r="AB98" s="208"/>
      <c r="AC98" s="208"/>
      <c r="AD98" s="208"/>
      <c r="AE98" s="208"/>
      <c r="AG98" s="207"/>
    </row>
    <row r="99" spans="2:33" s="185" customFormat="1" ht="15.5" x14ac:dyDescent="0.35">
      <c r="B99" s="250" t="s">
        <v>56</v>
      </c>
      <c r="C99" s="251">
        <v>101784</v>
      </c>
      <c r="D99" s="252">
        <v>24</v>
      </c>
      <c r="E99" s="240">
        <v>8371429</v>
      </c>
      <c r="F99" s="181">
        <f t="shared" si="37"/>
        <v>4.5102335574965791E-2</v>
      </c>
      <c r="G99" s="240">
        <v>8749000</v>
      </c>
      <c r="H99" s="182">
        <v>7.0000000000000007E-2</v>
      </c>
      <c r="I99" s="183">
        <f t="shared" si="67"/>
        <v>9361430</v>
      </c>
      <c r="J99" s="182">
        <v>0.1</v>
      </c>
      <c r="K99" s="183">
        <f t="shared" si="68"/>
        <v>9623900</v>
      </c>
      <c r="L99" s="195">
        <v>27</v>
      </c>
      <c r="M99" s="236">
        <v>225561250</v>
      </c>
      <c r="N99" s="237">
        <v>33</v>
      </c>
      <c r="O99" s="236">
        <v>279155250</v>
      </c>
      <c r="P99" s="194">
        <f t="shared" si="69"/>
        <v>504716500</v>
      </c>
      <c r="Q99" s="194">
        <f t="shared" si="70"/>
        <v>215826950.4544805</v>
      </c>
      <c r="R99" s="194">
        <f t="shared" si="62"/>
        <v>224567941.94788694</v>
      </c>
      <c r="S99" s="194">
        <f>M99-R99</f>
        <v>993308.05211305618</v>
      </c>
      <c r="T99" s="194">
        <f t="shared" si="71"/>
        <v>267108052.96059549</v>
      </c>
      <c r="U99" s="194">
        <f t="shared" si="64"/>
        <v>277925929.10549963</v>
      </c>
      <c r="V99" s="194">
        <f t="shared" si="72"/>
        <v>1229320.8945003748</v>
      </c>
      <c r="W99" s="194">
        <f t="shared" si="73"/>
        <v>2222628.946613431</v>
      </c>
      <c r="Y99" s="186"/>
      <c r="AA99" s="186"/>
      <c r="AB99" s="187"/>
      <c r="AC99" s="187"/>
      <c r="AD99" s="187"/>
      <c r="AE99" s="187"/>
      <c r="AG99" s="186"/>
    </row>
    <row r="100" spans="2:33" s="185" customFormat="1" ht="15.5" x14ac:dyDescent="0.35">
      <c r="B100" s="246" t="s">
        <v>57</v>
      </c>
      <c r="C100" s="247">
        <v>102637</v>
      </c>
      <c r="D100" s="248">
        <v>25</v>
      </c>
      <c r="E100" s="240">
        <v>7218719</v>
      </c>
      <c r="F100" s="181">
        <f t="shared" si="37"/>
        <v>4.506076493627198E-2</v>
      </c>
      <c r="G100" s="240">
        <v>7544000</v>
      </c>
      <c r="H100" s="182">
        <v>7.0000000000000007E-2</v>
      </c>
      <c r="I100" s="183">
        <f t="shared" si="67"/>
        <v>8072080</v>
      </c>
      <c r="J100" s="182">
        <v>0.1</v>
      </c>
      <c r="K100" s="183">
        <f t="shared" si="68"/>
        <v>8298400</v>
      </c>
      <c r="L100" s="195">
        <v>53</v>
      </c>
      <c r="M100" s="236">
        <v>376516000</v>
      </c>
      <c r="N100" s="237">
        <v>50</v>
      </c>
      <c r="O100" s="236">
        <v>357884000</v>
      </c>
      <c r="P100" s="194">
        <f t="shared" si="69"/>
        <v>734400000</v>
      </c>
      <c r="Q100" s="194">
        <f t="shared" si="70"/>
        <v>360281442.60392362</v>
      </c>
      <c r="R100" s="194">
        <f t="shared" si="62"/>
        <v>374872841.02938253</v>
      </c>
      <c r="S100" s="194">
        <f t="shared" ref="S100:S108" si="74">M100-R100</f>
        <v>1643158.9706174731</v>
      </c>
      <c r="T100" s="194">
        <f t="shared" si="71"/>
        <v>342452814.2359491</v>
      </c>
      <c r="U100" s="194">
        <f t="shared" si="64"/>
        <v>356322153.21250504</v>
      </c>
      <c r="V100" s="194">
        <f t="shared" si="72"/>
        <v>1561846.7874949574</v>
      </c>
      <c r="W100" s="194">
        <f t="shared" si="73"/>
        <v>3205005.7581124306</v>
      </c>
      <c r="Y100" s="186"/>
      <c r="AA100" s="186"/>
      <c r="AB100" s="187"/>
      <c r="AC100" s="187"/>
      <c r="AD100" s="187"/>
      <c r="AE100" s="187"/>
      <c r="AG100" s="186"/>
    </row>
    <row r="101" spans="2:33" s="185" customFormat="1" ht="15.5" x14ac:dyDescent="0.35">
      <c r="B101" s="253" t="s">
        <v>58</v>
      </c>
      <c r="C101" s="254">
        <v>54588</v>
      </c>
      <c r="D101" s="255">
        <v>27</v>
      </c>
      <c r="E101" s="240">
        <v>5740887</v>
      </c>
      <c r="F101" s="181">
        <f t="shared" si="37"/>
        <v>4.5134662988489449E-2</v>
      </c>
      <c r="G101" s="240">
        <v>6000000</v>
      </c>
      <c r="H101" s="182">
        <v>7.0000000000000007E-2</v>
      </c>
      <c r="I101" s="183">
        <f t="shared" si="67"/>
        <v>6420000</v>
      </c>
      <c r="J101" s="182">
        <v>0.1</v>
      </c>
      <c r="K101" s="183">
        <f t="shared" si="68"/>
        <v>6600000</v>
      </c>
      <c r="L101" s="195">
        <v>44</v>
      </c>
      <c r="M101" s="236">
        <v>259500000</v>
      </c>
      <c r="N101" s="237">
        <v>37</v>
      </c>
      <c r="O101" s="236">
        <v>219300000</v>
      </c>
      <c r="P101" s="194">
        <f t="shared" si="69"/>
        <v>478800000</v>
      </c>
      <c r="Q101" s="194">
        <f t="shared" si="70"/>
        <v>248293362.75</v>
      </c>
      <c r="R101" s="194">
        <f t="shared" si="62"/>
        <v>258349243.94137499</v>
      </c>
      <c r="S101" s="194">
        <f t="shared" si="74"/>
        <v>1150756.0586250126</v>
      </c>
      <c r="T101" s="194">
        <f t="shared" si="71"/>
        <v>209829419.84999999</v>
      </c>
      <c r="U101" s="194">
        <f t="shared" si="64"/>
        <v>218327511.35392499</v>
      </c>
      <c r="V101" s="194">
        <f t="shared" si="72"/>
        <v>972488.6460750103</v>
      </c>
      <c r="W101" s="194">
        <f t="shared" si="73"/>
        <v>2123244.7047000229</v>
      </c>
      <c r="Y101" s="186"/>
      <c r="AA101" s="186"/>
      <c r="AB101" s="187"/>
      <c r="AC101" s="187"/>
      <c r="AD101" s="187"/>
      <c r="AE101" s="187"/>
      <c r="AG101" s="186"/>
    </row>
    <row r="102" spans="2:33" s="206" customFormat="1" ht="15.5" x14ac:dyDescent="0.35">
      <c r="B102" s="209" t="s">
        <v>59</v>
      </c>
      <c r="C102" s="210"/>
      <c r="D102" s="211">
        <v>26</v>
      </c>
      <c r="E102" s="200">
        <v>6842365</v>
      </c>
      <c r="F102" s="244">
        <f t="shared" si="37"/>
        <v>2.011512101444457E-2</v>
      </c>
      <c r="G102" s="200">
        <v>6980000</v>
      </c>
      <c r="H102" s="202">
        <v>7.0000000000000007E-2</v>
      </c>
      <c r="I102" s="203">
        <f t="shared" si="67"/>
        <v>7468600</v>
      </c>
      <c r="J102" s="202">
        <v>0.1</v>
      </c>
      <c r="K102" s="203">
        <f t="shared" si="68"/>
        <v>7678000</v>
      </c>
      <c r="L102" s="204">
        <v>25</v>
      </c>
      <c r="M102" s="205">
        <v>169359000</v>
      </c>
      <c r="N102" s="204">
        <v>30</v>
      </c>
      <c r="O102" s="205">
        <v>205259000</v>
      </c>
      <c r="P102" s="205">
        <f t="shared" si="69"/>
        <v>374618000</v>
      </c>
      <c r="Q102" s="205">
        <f t="shared" si="70"/>
        <v>166019497.7127507</v>
      </c>
      <c r="R102" s="205">
        <f t="shared" si="62"/>
        <v>172743287.3701171</v>
      </c>
      <c r="S102" s="205">
        <f t="shared" si="74"/>
        <v>-3384287.3701170981</v>
      </c>
      <c r="T102" s="205">
        <f t="shared" si="71"/>
        <v>201211604.23137537</v>
      </c>
      <c r="U102" s="205">
        <f t="shared" si="64"/>
        <v>209360674.20274606</v>
      </c>
      <c r="V102" s="205">
        <f t="shared" si="72"/>
        <v>-4101674.2027460635</v>
      </c>
      <c r="W102" s="205">
        <f t="shared" si="73"/>
        <v>-7485961.5728631616</v>
      </c>
      <c r="Y102" s="207"/>
      <c r="AA102" s="207"/>
      <c r="AB102" s="208"/>
      <c r="AC102" s="208"/>
      <c r="AD102" s="208"/>
      <c r="AE102" s="208"/>
      <c r="AG102" s="207"/>
    </row>
    <row r="103" spans="2:33" s="206" customFormat="1" ht="15.5" x14ac:dyDescent="0.35">
      <c r="B103" s="209" t="s">
        <v>125</v>
      </c>
      <c r="C103" s="210"/>
      <c r="D103" s="211">
        <v>93</v>
      </c>
      <c r="E103" s="200">
        <v>15013793</v>
      </c>
      <c r="F103" s="244">
        <f t="shared" si="37"/>
        <v>1.3787322097780219E-5</v>
      </c>
      <c r="G103" s="200">
        <v>15014000</v>
      </c>
      <c r="H103" s="202">
        <v>7.0000000000000007E-2</v>
      </c>
      <c r="I103" s="203">
        <f t="shared" si="67"/>
        <v>16064980</v>
      </c>
      <c r="J103" s="202">
        <v>0.1</v>
      </c>
      <c r="K103" s="203">
        <f t="shared" si="68"/>
        <v>16515400</v>
      </c>
      <c r="L103" s="204">
        <v>3</v>
      </c>
      <c r="M103" s="205">
        <v>45042000</v>
      </c>
      <c r="N103" s="204">
        <v>3</v>
      </c>
      <c r="O103" s="205">
        <v>45042000</v>
      </c>
      <c r="P103" s="205">
        <f t="shared" si="69"/>
        <v>90084000</v>
      </c>
      <c r="Q103" s="205">
        <f t="shared" si="70"/>
        <v>45041379</v>
      </c>
      <c r="R103" s="205">
        <f t="shared" si="62"/>
        <v>46865554.8495</v>
      </c>
      <c r="S103" s="205">
        <f t="shared" si="74"/>
        <v>-1823554.8495000005</v>
      </c>
      <c r="T103" s="205">
        <f t="shared" si="71"/>
        <v>45041379</v>
      </c>
      <c r="U103" s="205">
        <f t="shared" si="64"/>
        <v>46865554.8495</v>
      </c>
      <c r="V103" s="205">
        <f t="shared" si="72"/>
        <v>-1823554.8495000005</v>
      </c>
      <c r="W103" s="205">
        <f t="shared" si="73"/>
        <v>-3647109.699000001</v>
      </c>
      <c r="Y103" s="207"/>
      <c r="AA103" s="207"/>
      <c r="AB103" s="208"/>
      <c r="AC103" s="208"/>
      <c r="AD103" s="208"/>
      <c r="AE103" s="208"/>
      <c r="AG103" s="207"/>
    </row>
    <row r="104" spans="2:33" s="185" customFormat="1" ht="15.5" x14ac:dyDescent="0.35">
      <c r="B104" s="256" t="s">
        <v>60</v>
      </c>
      <c r="C104" s="258">
        <v>90827</v>
      </c>
      <c r="D104" s="259">
        <v>25</v>
      </c>
      <c r="E104" s="240">
        <v>7409852.7000000002</v>
      </c>
      <c r="F104" s="181">
        <f t="shared" si="37"/>
        <v>4.5094998986956902E-2</v>
      </c>
      <c r="G104" s="240">
        <v>7744000</v>
      </c>
      <c r="H104" s="182">
        <v>7.0000000000000007E-2</v>
      </c>
      <c r="I104" s="183">
        <f t="shared" si="67"/>
        <v>8286080</v>
      </c>
      <c r="J104" s="182">
        <v>0.1</v>
      </c>
      <c r="K104" s="183">
        <f t="shared" si="68"/>
        <v>8518400</v>
      </c>
      <c r="L104" s="195">
        <v>27</v>
      </c>
      <c r="M104" s="236">
        <v>200618400</v>
      </c>
      <c r="N104" s="237">
        <v>25</v>
      </c>
      <c r="O104" s="236">
        <v>185630400</v>
      </c>
      <c r="P104" s="194">
        <f t="shared" si="69"/>
        <v>386248800</v>
      </c>
      <c r="Q104" s="194">
        <f t="shared" si="70"/>
        <v>191961879.24970043</v>
      </c>
      <c r="R104" s="194">
        <f t="shared" si="62"/>
        <v>199736335.35931331</v>
      </c>
      <c r="S104" s="194">
        <f t="shared" si="74"/>
        <v>882064.64068669081</v>
      </c>
      <c r="T104" s="194">
        <f t="shared" si="71"/>
        <v>177620599.25646695</v>
      </c>
      <c r="U104" s="194">
        <f t="shared" si="64"/>
        <v>184814233.52635387</v>
      </c>
      <c r="V104" s="194">
        <f t="shared" si="72"/>
        <v>816166.47364613414</v>
      </c>
      <c r="W104" s="194">
        <f t="shared" si="73"/>
        <v>1698231.1143328249</v>
      </c>
      <c r="Y104" s="186"/>
      <c r="AA104" s="186"/>
      <c r="AB104" s="187"/>
      <c r="AC104" s="187"/>
      <c r="AD104" s="187"/>
      <c r="AE104" s="187"/>
      <c r="AG104" s="186"/>
    </row>
    <row r="105" spans="2:33" s="185" customFormat="1" ht="15.5" x14ac:dyDescent="0.35">
      <c r="B105" s="256" t="s">
        <v>61</v>
      </c>
      <c r="C105" s="258">
        <v>101521</v>
      </c>
      <c r="D105" s="259">
        <v>50</v>
      </c>
      <c r="E105" s="240">
        <v>9018719</v>
      </c>
      <c r="F105" s="181">
        <f t="shared" si="37"/>
        <v>4.5048637173416672E-2</v>
      </c>
      <c r="G105" s="240">
        <v>9425000</v>
      </c>
      <c r="H105" s="182">
        <v>7.0000000000000007E-2</v>
      </c>
      <c r="I105" s="183">
        <f t="shared" si="67"/>
        <v>10084750</v>
      </c>
      <c r="J105" s="182">
        <v>0.1</v>
      </c>
      <c r="K105" s="183">
        <f t="shared" si="68"/>
        <v>10367500</v>
      </c>
      <c r="L105" s="195">
        <v>83</v>
      </c>
      <c r="M105" s="236">
        <v>748425000</v>
      </c>
      <c r="N105" s="237">
        <v>75</v>
      </c>
      <c r="O105" s="236">
        <v>682737500</v>
      </c>
      <c r="P105" s="194">
        <f t="shared" si="69"/>
        <v>1431162500</v>
      </c>
      <c r="Q105" s="194">
        <f t="shared" si="70"/>
        <v>716162840.06100798</v>
      </c>
      <c r="R105" s="194">
        <f t="shared" si="62"/>
        <v>745167435.08347881</v>
      </c>
      <c r="S105" s="194">
        <f t="shared" si="74"/>
        <v>3257564.9165211916</v>
      </c>
      <c r="T105" s="194">
        <f t="shared" si="71"/>
        <v>653306913.87400532</v>
      </c>
      <c r="U105" s="194">
        <f t="shared" si="64"/>
        <v>679765843.88590252</v>
      </c>
      <c r="V105" s="194">
        <f t="shared" si="72"/>
        <v>2971656.114097476</v>
      </c>
      <c r="W105" s="194">
        <f t="shared" si="73"/>
        <v>6229221.0306186676</v>
      </c>
      <c r="Y105" s="186"/>
      <c r="AA105" s="186"/>
      <c r="AB105" s="187"/>
      <c r="AC105" s="187"/>
      <c r="AD105" s="187"/>
      <c r="AE105" s="187"/>
      <c r="AG105" s="186"/>
    </row>
    <row r="106" spans="2:33" s="185" customFormat="1" ht="15.5" x14ac:dyDescent="0.35">
      <c r="B106" s="256" t="s">
        <v>62</v>
      </c>
      <c r="C106" s="258">
        <v>102049</v>
      </c>
      <c r="D106" s="259">
        <v>48</v>
      </c>
      <c r="E106" s="240">
        <v>8371429</v>
      </c>
      <c r="F106" s="181">
        <f t="shared" si="37"/>
        <v>4.5102335574965791E-2</v>
      </c>
      <c r="G106" s="240">
        <v>8749000</v>
      </c>
      <c r="H106" s="182">
        <v>7.0000000000000007E-2</v>
      </c>
      <c r="I106" s="183">
        <f t="shared" si="67"/>
        <v>9361430</v>
      </c>
      <c r="J106" s="182">
        <v>0.1</v>
      </c>
      <c r="K106" s="183">
        <f t="shared" si="68"/>
        <v>9623900</v>
      </c>
      <c r="L106" s="195">
        <v>27</v>
      </c>
      <c r="M106" s="236">
        <v>203414250</v>
      </c>
      <c r="N106" s="237">
        <v>33</v>
      </c>
      <c r="O106" s="236">
        <v>245409450</v>
      </c>
      <c r="P106" s="194">
        <f t="shared" si="69"/>
        <v>448823700</v>
      </c>
      <c r="Q106" s="194">
        <f t="shared" si="70"/>
        <v>194635724.25</v>
      </c>
      <c r="R106" s="194">
        <f t="shared" si="62"/>
        <v>202518471.08212501</v>
      </c>
      <c r="S106" s="194">
        <f t="shared" si="74"/>
        <v>895778.91787499189</v>
      </c>
      <c r="T106" s="194">
        <f t="shared" si="71"/>
        <v>234818583.44999999</v>
      </c>
      <c r="U106" s="194">
        <f t="shared" si="64"/>
        <v>244328736.079725</v>
      </c>
      <c r="V106" s="194">
        <f t="shared" si="72"/>
        <v>1080713.9202750027</v>
      </c>
      <c r="W106" s="194">
        <f t="shared" si="73"/>
        <v>1976492.8381499946</v>
      </c>
      <c r="Y106" s="186"/>
      <c r="AA106" s="186"/>
      <c r="AB106" s="187"/>
      <c r="AC106" s="187"/>
      <c r="AD106" s="187"/>
      <c r="AE106" s="187"/>
      <c r="AG106" s="186"/>
    </row>
    <row r="107" spans="2:33" s="185" customFormat="1" ht="15.5" x14ac:dyDescent="0.35">
      <c r="B107" s="256" t="s">
        <v>102</v>
      </c>
      <c r="C107" s="258">
        <v>103307</v>
      </c>
      <c r="D107" s="259">
        <v>45</v>
      </c>
      <c r="E107" s="240">
        <v>7936946</v>
      </c>
      <c r="F107" s="181">
        <f t="shared" si="37"/>
        <v>4.5112313980717467E-2</v>
      </c>
      <c r="G107" s="240">
        <v>8295000</v>
      </c>
      <c r="H107" s="182">
        <v>7.0000000000000007E-2</v>
      </c>
      <c r="I107" s="183">
        <f t="shared" si="67"/>
        <v>8875650</v>
      </c>
      <c r="J107" s="182">
        <v>0.1</v>
      </c>
      <c r="K107" s="183">
        <f t="shared" si="68"/>
        <v>9124500</v>
      </c>
      <c r="L107" s="195">
        <v>17</v>
      </c>
      <c r="M107" s="236">
        <v>142037171</v>
      </c>
      <c r="N107" s="237">
        <v>34</v>
      </c>
      <c r="O107" s="236">
        <v>278297250</v>
      </c>
      <c r="P107" s="194">
        <f t="shared" si="69"/>
        <v>420334421</v>
      </c>
      <c r="Q107" s="194">
        <f t="shared" si="70"/>
        <v>135906130.9487361</v>
      </c>
      <c r="R107" s="194">
        <f t="shared" si="62"/>
        <v>141410329.25215992</v>
      </c>
      <c r="S107" s="194">
        <f t="shared" si="74"/>
        <v>626841.74784007668</v>
      </c>
      <c r="T107" s="194">
        <f t="shared" si="71"/>
        <v>266284538.30000001</v>
      </c>
      <c r="U107" s="194">
        <f t="shared" si="64"/>
        <v>277069062.10115004</v>
      </c>
      <c r="V107" s="194">
        <f t="shared" si="72"/>
        <v>1228187.8988499641</v>
      </c>
      <c r="W107" s="194">
        <f t="shared" si="73"/>
        <v>1855029.6466900408</v>
      </c>
      <c r="Y107" s="186"/>
      <c r="AA107" s="186"/>
      <c r="AB107" s="187"/>
      <c r="AC107" s="187"/>
      <c r="AD107" s="187"/>
      <c r="AE107" s="187"/>
      <c r="AG107" s="186"/>
    </row>
    <row r="108" spans="2:33" s="185" customFormat="1" ht="15.5" x14ac:dyDescent="0.35">
      <c r="B108" s="256" t="s">
        <v>103</v>
      </c>
      <c r="C108" s="258">
        <v>1048</v>
      </c>
      <c r="D108" s="259">
        <v>47</v>
      </c>
      <c r="E108" s="240">
        <v>6800000</v>
      </c>
      <c r="F108" s="181">
        <f t="shared" si="37"/>
        <v>4.4999999999999929E-2</v>
      </c>
      <c r="G108" s="240">
        <v>7106000</v>
      </c>
      <c r="H108" s="182">
        <v>7.0000000000000007E-2</v>
      </c>
      <c r="I108" s="183">
        <f t="shared" si="67"/>
        <v>7603420</v>
      </c>
      <c r="J108" s="182">
        <v>0.1</v>
      </c>
      <c r="K108" s="183">
        <f t="shared" si="68"/>
        <v>7816600</v>
      </c>
      <c r="L108" s="195">
        <v>68</v>
      </c>
      <c r="M108" s="236">
        <v>483208000</v>
      </c>
      <c r="N108" s="237">
        <v>23</v>
      </c>
      <c r="O108" s="236">
        <v>163438000</v>
      </c>
      <c r="P108" s="194">
        <f t="shared" si="69"/>
        <v>646646000</v>
      </c>
      <c r="Q108" s="194">
        <f t="shared" si="70"/>
        <v>462400000.00000006</v>
      </c>
      <c r="R108" s="194">
        <f t="shared" si="62"/>
        <v>481127200.00000006</v>
      </c>
      <c r="S108" s="194">
        <f t="shared" si="74"/>
        <v>2080799.9999999404</v>
      </c>
      <c r="T108" s="194">
        <f t="shared" si="71"/>
        <v>156400000</v>
      </c>
      <c r="U108" s="194">
        <f t="shared" si="64"/>
        <v>162734200</v>
      </c>
      <c r="V108" s="194">
        <f t="shared" si="72"/>
        <v>703800</v>
      </c>
      <c r="W108" s="194">
        <f t="shared" si="73"/>
        <v>2784599.9999999404</v>
      </c>
      <c r="Y108" s="186"/>
      <c r="AA108" s="186"/>
      <c r="AB108" s="187"/>
      <c r="AC108" s="187"/>
      <c r="AD108" s="187"/>
      <c r="AE108" s="187"/>
      <c r="AG108" s="186"/>
    </row>
    <row r="109" spans="2:33" s="206" customFormat="1" ht="15.5" x14ac:dyDescent="0.35">
      <c r="B109" s="220" t="s">
        <v>162</v>
      </c>
      <c r="C109" s="232"/>
      <c r="D109" s="233">
        <v>44</v>
      </c>
      <c r="E109" s="200">
        <v>1900</v>
      </c>
      <c r="F109" s="244">
        <f t="shared" si="37"/>
        <v>-5.2631578947368474E-2</v>
      </c>
      <c r="G109" s="200">
        <v>1800</v>
      </c>
      <c r="H109" s="202">
        <v>7.0000000000000007E-2</v>
      </c>
      <c r="I109" s="203">
        <f t="shared" si="67"/>
        <v>1926</v>
      </c>
      <c r="J109" s="202">
        <v>0.1</v>
      </c>
      <c r="K109" s="203">
        <f t="shared" si="68"/>
        <v>1980</v>
      </c>
      <c r="L109" s="524">
        <v>60</v>
      </c>
      <c r="M109" s="526">
        <v>312887700</v>
      </c>
      <c r="N109" s="528">
        <v>64</v>
      </c>
      <c r="O109" s="526">
        <v>333851700</v>
      </c>
      <c r="P109" s="522">
        <f>+M109+O109</f>
        <v>646739400</v>
      </c>
      <c r="Q109" s="522">
        <f>M109/(1+F110)</f>
        <v>299382246.60000002</v>
      </c>
      <c r="R109" s="522">
        <f>($Q109*$R$10)+$Q109</f>
        <v>311507227.5873</v>
      </c>
      <c r="S109" s="522">
        <f>M109-R109</f>
        <v>1380472.4126999974</v>
      </c>
      <c r="T109" s="522">
        <f>O109/(1+F110)</f>
        <v>319441358.60000002</v>
      </c>
      <c r="U109" s="522">
        <f>($T109*$U$10)+$T109</f>
        <v>332378733.62330002</v>
      </c>
      <c r="V109" s="522">
        <f>O109-U109</f>
        <v>1472966.3766999841</v>
      </c>
      <c r="W109" s="522">
        <f>S109+V109</f>
        <v>2853438.7893999815</v>
      </c>
      <c r="Y109" s="207"/>
      <c r="AA109" s="207"/>
      <c r="AB109" s="208"/>
      <c r="AC109" s="208"/>
      <c r="AD109" s="208"/>
      <c r="AE109" s="208"/>
      <c r="AG109" s="207"/>
    </row>
    <row r="110" spans="2:33" s="185" customFormat="1" ht="16" thickBot="1" x14ac:dyDescent="0.4">
      <c r="B110" s="256" t="s">
        <v>104</v>
      </c>
      <c r="C110" s="258">
        <v>90827</v>
      </c>
      <c r="D110" s="259">
        <v>44</v>
      </c>
      <c r="E110" s="240">
        <v>5014778</v>
      </c>
      <c r="F110" s="181">
        <f t="shared" si="37"/>
        <v>4.51110697223287E-2</v>
      </c>
      <c r="G110" s="240">
        <v>5241000</v>
      </c>
      <c r="H110" s="182">
        <v>7.0000000000000007E-2</v>
      </c>
      <c r="I110" s="183">
        <f t="shared" si="67"/>
        <v>5607870</v>
      </c>
      <c r="J110" s="182">
        <v>0.1</v>
      </c>
      <c r="K110" s="183">
        <f t="shared" si="68"/>
        <v>5765100</v>
      </c>
      <c r="L110" s="525"/>
      <c r="M110" s="527"/>
      <c r="N110" s="529"/>
      <c r="O110" s="527"/>
      <c r="P110" s="523"/>
      <c r="Q110" s="523"/>
      <c r="R110" s="523"/>
      <c r="S110" s="523"/>
      <c r="T110" s="523"/>
      <c r="U110" s="523"/>
      <c r="V110" s="523"/>
      <c r="W110" s="523"/>
      <c r="Y110" s="186"/>
      <c r="AA110" s="186"/>
      <c r="AB110" s="187"/>
      <c r="AC110" s="187"/>
      <c r="AD110" s="187"/>
      <c r="AE110" s="187"/>
      <c r="AG110" s="186"/>
    </row>
    <row r="111" spans="2:33" ht="21" customHeight="1" x14ac:dyDescent="0.5">
      <c r="B111" s="79" t="s">
        <v>121</v>
      </c>
      <c r="C111" s="82"/>
      <c r="D111" s="110"/>
      <c r="E111" s="80"/>
      <c r="F111" s="81" t="s">
        <v>118</v>
      </c>
      <c r="G111" s="80">
        <f>SUM(G62:G110)</f>
        <v>453344800</v>
      </c>
      <c r="H111" s="82"/>
      <c r="I111" s="82"/>
      <c r="J111" s="82"/>
      <c r="K111" s="82"/>
      <c r="L111" s="83">
        <f>SUM(L62:L109)</f>
        <v>1192</v>
      </c>
      <c r="M111" s="84">
        <f>SUM(M62:M109)</f>
        <v>10082028261</v>
      </c>
      <c r="N111" s="83">
        <f>SUM(N62:N109)</f>
        <v>1321</v>
      </c>
      <c r="O111" s="84">
        <f t="shared" ref="O111:W111" si="75">SUM(O62:O110)</f>
        <v>11470170824</v>
      </c>
      <c r="P111" s="84">
        <f t="shared" si="75"/>
        <v>21552199085</v>
      </c>
      <c r="Q111" s="84">
        <f t="shared" si="75"/>
        <v>9643047398.0242538</v>
      </c>
      <c r="R111" s="84">
        <f t="shared" si="75"/>
        <v>10033590817.644232</v>
      </c>
      <c r="S111" s="84">
        <f t="shared" si="75"/>
        <v>48437443.355764449</v>
      </c>
      <c r="T111" s="84">
        <f t="shared" si="75"/>
        <v>10966534860.85499</v>
      </c>
      <c r="U111" s="84">
        <f t="shared" si="75"/>
        <v>11410679522.71962</v>
      </c>
      <c r="V111" s="84">
        <f t="shared" si="75"/>
        <v>59491301.280382976</v>
      </c>
      <c r="W111" s="84">
        <f t="shared" si="75"/>
        <v>107928744.63614742</v>
      </c>
      <c r="AB111" s="123"/>
      <c r="AD111" s="123"/>
      <c r="AE111" s="123"/>
      <c r="AG111" s="124"/>
    </row>
    <row r="112" spans="2:33" ht="22.5" customHeight="1" thickBot="1" x14ac:dyDescent="0.4">
      <c r="B112" s="96" t="s">
        <v>134</v>
      </c>
      <c r="C112" s="177"/>
      <c r="D112" s="112"/>
      <c r="E112" s="86"/>
      <c r="F112" s="87"/>
      <c r="G112" s="88">
        <f>+SUMPRODUCT(G62:G110,F62:F110)/G111</f>
        <v>4.2072877281297834E-2</v>
      </c>
      <c r="H112" s="89"/>
      <c r="I112" s="89"/>
      <c r="J112" s="89"/>
      <c r="K112" s="89"/>
      <c r="L112" s="90"/>
      <c r="M112" s="91"/>
      <c r="N112" s="90"/>
      <c r="O112" s="92"/>
      <c r="P112" s="88"/>
      <c r="Q112" s="88"/>
      <c r="R112" s="88"/>
      <c r="S112" s="88"/>
      <c r="T112" s="88"/>
      <c r="U112" s="88"/>
      <c r="V112" s="88"/>
      <c r="W112" s="88"/>
      <c r="AB112" s="123"/>
      <c r="AD112" s="123"/>
      <c r="AE112" s="123"/>
      <c r="AG112" s="124"/>
    </row>
    <row r="113" spans="2:33" ht="23.25" customHeight="1" x14ac:dyDescent="0.5">
      <c r="B113" s="79" t="s">
        <v>122</v>
      </c>
      <c r="C113" s="82"/>
      <c r="D113" s="110"/>
      <c r="E113" s="97"/>
      <c r="F113" s="97"/>
      <c r="G113" s="98"/>
      <c r="H113" s="99"/>
      <c r="I113" s="98"/>
      <c r="J113" s="98"/>
      <c r="K113" s="98"/>
      <c r="L113" s="83">
        <f>+L111+L58</f>
        <v>8245</v>
      </c>
      <c r="M113" s="84">
        <f>M111+M58</f>
        <v>61917133961</v>
      </c>
      <c r="N113" s="83">
        <f>+N111+N58</f>
        <v>8426</v>
      </c>
      <c r="O113" s="84">
        <f t="shared" ref="O113:W113" si="76">O111+O58</f>
        <v>63821024424</v>
      </c>
      <c r="P113" s="84">
        <f t="shared" si="76"/>
        <v>125738158385</v>
      </c>
      <c r="Q113" s="84">
        <f t="shared" si="76"/>
        <v>58766274692.070831</v>
      </c>
      <c r="R113" s="84">
        <f t="shared" si="76"/>
        <v>61146308817.099701</v>
      </c>
      <c r="S113" s="84">
        <f t="shared" si="76"/>
        <v>770825143.90030336</v>
      </c>
      <c r="T113" s="84">
        <f t="shared" si="76"/>
        <v>60577027631.69809</v>
      </c>
      <c r="U113" s="84">
        <f t="shared" si="76"/>
        <v>63030397250.781868</v>
      </c>
      <c r="V113" s="84">
        <f t="shared" si="76"/>
        <v>790627173.21812892</v>
      </c>
      <c r="W113" s="84">
        <f t="shared" si="76"/>
        <v>1561452317.1184325</v>
      </c>
      <c r="AB113" s="123"/>
      <c r="AD113" s="123"/>
      <c r="AE113" s="123"/>
      <c r="AG113" s="124"/>
    </row>
    <row r="114" spans="2:33" ht="21.5" thickBot="1" x14ac:dyDescent="0.55000000000000004">
      <c r="B114" s="85" t="s">
        <v>123</v>
      </c>
      <c r="C114" s="89"/>
      <c r="D114" s="111"/>
      <c r="E114" s="100"/>
      <c r="F114" s="100"/>
      <c r="G114" s="169">
        <f>((+SUMPRODUCT(G13:G57,F13:F57))+(SUMPRODUCT(G62:G110,F62:F110)))/(G58+G111)</f>
        <v>4.7404127068179723E-2</v>
      </c>
      <c r="H114" s="102"/>
      <c r="I114" s="101"/>
      <c r="J114" s="101"/>
      <c r="K114" s="101"/>
      <c r="L114" s="103"/>
      <c r="M114" s="104"/>
      <c r="N114" s="103"/>
      <c r="O114" s="105"/>
      <c r="P114" s="88"/>
      <c r="Q114" s="106"/>
      <c r="R114" s="107"/>
      <c r="S114" s="107"/>
      <c r="T114" s="107"/>
      <c r="U114" s="107"/>
      <c r="V114" s="107"/>
      <c r="W114" s="108"/>
      <c r="AB114" s="123"/>
      <c r="AD114" s="123"/>
      <c r="AE114" s="123"/>
      <c r="AG114" s="124"/>
    </row>
    <row r="115" spans="2:33" ht="10.5" x14ac:dyDescent="0.25">
      <c r="G115" s="157"/>
      <c r="AG115" s="124"/>
    </row>
    <row r="116" spans="2:33" ht="12" x14ac:dyDescent="0.3">
      <c r="B116" s="170" t="s">
        <v>161</v>
      </c>
      <c r="C116" s="170"/>
      <c r="G116" s="141"/>
      <c r="Q116" s="123"/>
      <c r="AG116" s="124"/>
    </row>
    <row r="117" spans="2:33" ht="12" x14ac:dyDescent="0.3">
      <c r="B117" s="171" t="s">
        <v>196</v>
      </c>
      <c r="C117" s="171"/>
      <c r="E117" s="118"/>
      <c r="F117" s="119"/>
      <c r="G117" s="141"/>
    </row>
    <row r="118" spans="2:33" ht="10.5" x14ac:dyDescent="0.25">
      <c r="E118" s="118"/>
      <c r="G118" s="141"/>
    </row>
    <row r="119" spans="2:33" ht="16" thickBot="1" x14ac:dyDescent="0.25">
      <c r="E119" s="118"/>
      <c r="G119" s="163"/>
    </row>
    <row r="120" spans="2:33" ht="10.5" x14ac:dyDescent="0.25">
      <c r="E120" s="118"/>
      <c r="G120" s="141"/>
    </row>
    <row r="121" spans="2:33" ht="10.5" x14ac:dyDescent="0.25">
      <c r="E121" s="118"/>
      <c r="G121" s="141"/>
    </row>
    <row r="122" spans="2:33" ht="10.5" x14ac:dyDescent="0.25">
      <c r="E122" s="118"/>
      <c r="G122" s="141"/>
    </row>
    <row r="123" spans="2:33" ht="10.5" x14ac:dyDescent="0.25">
      <c r="E123" s="118"/>
      <c r="G123" s="141"/>
    </row>
    <row r="124" spans="2:33" ht="10.5" x14ac:dyDescent="0.25">
      <c r="E124" s="118"/>
      <c r="G124" s="141"/>
    </row>
    <row r="125" spans="2:33" ht="10.5" x14ac:dyDescent="0.25">
      <c r="E125" s="118"/>
      <c r="G125" s="141"/>
    </row>
    <row r="126" spans="2:33" x14ac:dyDescent="0.2">
      <c r="E126" s="118"/>
    </row>
    <row r="127" spans="2:33" x14ac:dyDescent="0.2">
      <c r="E127" s="118"/>
    </row>
  </sheetData>
  <mergeCells count="233">
    <mergeCell ref="S109:S110"/>
    <mergeCell ref="T109:T110"/>
    <mergeCell ref="U109:U110"/>
    <mergeCell ref="V109:V110"/>
    <mergeCell ref="W109:W110"/>
    <mergeCell ref="U92:U94"/>
    <mergeCell ref="V92:V94"/>
    <mergeCell ref="W92:W94"/>
    <mergeCell ref="L109:L110"/>
    <mergeCell ref="M109:M110"/>
    <mergeCell ref="N109:N110"/>
    <mergeCell ref="O109:O110"/>
    <mergeCell ref="P109:P110"/>
    <mergeCell ref="Q109:Q110"/>
    <mergeCell ref="R109:R110"/>
    <mergeCell ref="L92:L94"/>
    <mergeCell ref="M92:M94"/>
    <mergeCell ref="N92:N94"/>
    <mergeCell ref="O92:O94"/>
    <mergeCell ref="P92:P94"/>
    <mergeCell ref="Q92:Q94"/>
    <mergeCell ref="R92:R94"/>
    <mergeCell ref="S92:S94"/>
    <mergeCell ref="T92:T94"/>
    <mergeCell ref="T56:T57"/>
    <mergeCell ref="U56:U57"/>
    <mergeCell ref="V56:V57"/>
    <mergeCell ref="W56:W57"/>
    <mergeCell ref="D87:D89"/>
    <mergeCell ref="L87:L89"/>
    <mergeCell ref="M87:M89"/>
    <mergeCell ref="N87:N89"/>
    <mergeCell ref="O87:O89"/>
    <mergeCell ref="P87:P89"/>
    <mergeCell ref="W87:W89"/>
    <mergeCell ref="Q87:Q89"/>
    <mergeCell ref="R87:R89"/>
    <mergeCell ref="S87:S89"/>
    <mergeCell ref="T87:T89"/>
    <mergeCell ref="U87:U89"/>
    <mergeCell ref="V87:V89"/>
    <mergeCell ref="D56:D57"/>
    <mergeCell ref="L56:L57"/>
    <mergeCell ref="M56:M57"/>
    <mergeCell ref="N56:N57"/>
    <mergeCell ref="O56:O57"/>
    <mergeCell ref="P56:P57"/>
    <mergeCell ref="Q56:Q57"/>
    <mergeCell ref="R56:R57"/>
    <mergeCell ref="S56:S57"/>
    <mergeCell ref="T50:T51"/>
    <mergeCell ref="U50:U51"/>
    <mergeCell ref="V50:V51"/>
    <mergeCell ref="W50:W51"/>
    <mergeCell ref="D53:D54"/>
    <mergeCell ref="L53:L54"/>
    <mergeCell ref="M53:M54"/>
    <mergeCell ref="N53:N54"/>
    <mergeCell ref="O53:O54"/>
    <mergeCell ref="P53:P54"/>
    <mergeCell ref="W53:W54"/>
    <mergeCell ref="Q53:Q54"/>
    <mergeCell ref="R53:R54"/>
    <mergeCell ref="S53:S54"/>
    <mergeCell ref="T53:T54"/>
    <mergeCell ref="U53:U54"/>
    <mergeCell ref="V53:V54"/>
    <mergeCell ref="D50:D51"/>
    <mergeCell ref="L50:L51"/>
    <mergeCell ref="M50:M51"/>
    <mergeCell ref="N50:N51"/>
    <mergeCell ref="O50:O51"/>
    <mergeCell ref="P50:P51"/>
    <mergeCell ref="Q50:Q51"/>
    <mergeCell ref="R50:R51"/>
    <mergeCell ref="S50:S51"/>
    <mergeCell ref="T40:T41"/>
    <mergeCell ref="U40:U41"/>
    <mergeCell ref="V40:V41"/>
    <mergeCell ref="W40:W41"/>
    <mergeCell ref="D42:D44"/>
    <mergeCell ref="L42:L44"/>
    <mergeCell ref="M42:M44"/>
    <mergeCell ref="N42:N44"/>
    <mergeCell ref="O42:O44"/>
    <mergeCell ref="P42:P44"/>
    <mergeCell ref="W42:W44"/>
    <mergeCell ref="Q42:Q44"/>
    <mergeCell ref="R42:R44"/>
    <mergeCell ref="S42:S44"/>
    <mergeCell ref="T42:T44"/>
    <mergeCell ref="U42:U44"/>
    <mergeCell ref="V42:V44"/>
    <mergeCell ref="D40:D41"/>
    <mergeCell ref="L40:L41"/>
    <mergeCell ref="M40:M41"/>
    <mergeCell ref="N40:N41"/>
    <mergeCell ref="O40:O41"/>
    <mergeCell ref="P40:P41"/>
    <mergeCell ref="Q40:Q41"/>
    <mergeCell ref="R40:R41"/>
    <mergeCell ref="S40:S41"/>
    <mergeCell ref="T34:T36"/>
    <mergeCell ref="U34:U36"/>
    <mergeCell ref="V34:V36"/>
    <mergeCell ref="W34:W36"/>
    <mergeCell ref="D37:D38"/>
    <mergeCell ref="L37:L38"/>
    <mergeCell ref="M37:M38"/>
    <mergeCell ref="N37:N38"/>
    <mergeCell ref="O37:O38"/>
    <mergeCell ref="P37:P38"/>
    <mergeCell ref="W37:W38"/>
    <mergeCell ref="Q37:Q38"/>
    <mergeCell ref="R37:R38"/>
    <mergeCell ref="S37:S38"/>
    <mergeCell ref="T37:T38"/>
    <mergeCell ref="U37:U38"/>
    <mergeCell ref="V37:V38"/>
    <mergeCell ref="D34:D36"/>
    <mergeCell ref="L34:L36"/>
    <mergeCell ref="M34:M36"/>
    <mergeCell ref="N34:N36"/>
    <mergeCell ref="O34:O36"/>
    <mergeCell ref="P34:P36"/>
    <mergeCell ref="Q34:Q36"/>
    <mergeCell ref="R34:R36"/>
    <mergeCell ref="S34:S36"/>
    <mergeCell ref="T28:T30"/>
    <mergeCell ref="U28:U30"/>
    <mergeCell ref="V28:V30"/>
    <mergeCell ref="W28:W30"/>
    <mergeCell ref="D31:D33"/>
    <mergeCell ref="L31:L33"/>
    <mergeCell ref="M31:M33"/>
    <mergeCell ref="N31:N33"/>
    <mergeCell ref="O31:O33"/>
    <mergeCell ref="P31:P33"/>
    <mergeCell ref="W31:W33"/>
    <mergeCell ref="Q31:Q33"/>
    <mergeCell ref="R31:R33"/>
    <mergeCell ref="S31:S33"/>
    <mergeCell ref="T31:T33"/>
    <mergeCell ref="U31:U33"/>
    <mergeCell ref="V31:V33"/>
    <mergeCell ref="D28:D30"/>
    <mergeCell ref="L28:L30"/>
    <mergeCell ref="M28:M30"/>
    <mergeCell ref="N28:N30"/>
    <mergeCell ref="O28:O30"/>
    <mergeCell ref="P28:P30"/>
    <mergeCell ref="Q28:Q30"/>
    <mergeCell ref="R28:R30"/>
    <mergeCell ref="S28:S30"/>
    <mergeCell ref="T24:T25"/>
    <mergeCell ref="U24:U25"/>
    <mergeCell ref="V24:V25"/>
    <mergeCell ref="W24:W25"/>
    <mergeCell ref="D26:D27"/>
    <mergeCell ref="L26:L27"/>
    <mergeCell ref="M26:M27"/>
    <mergeCell ref="N26:N27"/>
    <mergeCell ref="O26:O27"/>
    <mergeCell ref="P26:P27"/>
    <mergeCell ref="W26:W27"/>
    <mergeCell ref="Q26:Q27"/>
    <mergeCell ref="R26:R27"/>
    <mergeCell ref="S26:S27"/>
    <mergeCell ref="T26:T27"/>
    <mergeCell ref="U26:U27"/>
    <mergeCell ref="V26:V27"/>
    <mergeCell ref="D24:D25"/>
    <mergeCell ref="L24:L25"/>
    <mergeCell ref="M24:M25"/>
    <mergeCell ref="N24:N25"/>
    <mergeCell ref="O24:O25"/>
    <mergeCell ref="P24:P25"/>
    <mergeCell ref="Q24:Q25"/>
    <mergeCell ref="R24:R25"/>
    <mergeCell ref="S24:S25"/>
    <mergeCell ref="V17:V18"/>
    <mergeCell ref="W17:W18"/>
    <mergeCell ref="D19:D20"/>
    <mergeCell ref="L19:L20"/>
    <mergeCell ref="M19:M20"/>
    <mergeCell ref="N19:N20"/>
    <mergeCell ref="O19:O20"/>
    <mergeCell ref="P19:P20"/>
    <mergeCell ref="W19:W20"/>
    <mergeCell ref="Q19:Q20"/>
    <mergeCell ref="R19:R20"/>
    <mergeCell ref="S19:S20"/>
    <mergeCell ref="T19:T20"/>
    <mergeCell ref="U19:U20"/>
    <mergeCell ref="V19:V20"/>
    <mergeCell ref="D15:D16"/>
    <mergeCell ref="L15:L16"/>
    <mergeCell ref="M15:M16"/>
    <mergeCell ref="N15:N16"/>
    <mergeCell ref="O15:O16"/>
    <mergeCell ref="P15:P16"/>
    <mergeCell ref="W15:W16"/>
    <mergeCell ref="D17:D18"/>
    <mergeCell ref="L17:L18"/>
    <mergeCell ref="M17:M18"/>
    <mergeCell ref="N17:N18"/>
    <mergeCell ref="O17:O18"/>
    <mergeCell ref="P17:P18"/>
    <mergeCell ref="Q17:Q18"/>
    <mergeCell ref="R17:R18"/>
    <mergeCell ref="S17:S18"/>
    <mergeCell ref="Q15:Q16"/>
    <mergeCell ref="R15:R16"/>
    <mergeCell ref="S15:S16"/>
    <mergeCell ref="T15:T16"/>
    <mergeCell ref="U15:U16"/>
    <mergeCell ref="V15:V16"/>
    <mergeCell ref="T17:T18"/>
    <mergeCell ref="U17:U18"/>
    <mergeCell ref="B3:W3"/>
    <mergeCell ref="B4:W4"/>
    <mergeCell ref="D13:D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</mergeCells>
  <hyperlinks>
    <hyperlink ref="B1" location="Contenido!B21" display="Volver al menú" xr:uid="{00000000-0004-0000-05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2"/>
  <sheetViews>
    <sheetView showGridLines="0" workbookViewId="0"/>
  </sheetViews>
  <sheetFormatPr baseColWidth="10" defaultColWidth="11.453125" defaultRowHeight="12.5" x14ac:dyDescent="0.25"/>
  <cols>
    <col min="1" max="1" width="11.453125" style="8"/>
    <col min="2" max="2" width="58.453125" style="8" bestFit="1" customWidth="1"/>
    <col min="3" max="3" width="12.7265625" style="8" customWidth="1"/>
    <col min="4" max="4" width="11.453125" style="8"/>
    <col min="5" max="5" width="10.453125" style="8" bestFit="1" customWidth="1"/>
    <col min="6" max="16384" width="11.453125" style="8"/>
  </cols>
  <sheetData>
    <row r="1" spans="1:6" ht="14.5" x14ac:dyDescent="0.35">
      <c r="A1" s="56" t="s">
        <v>83</v>
      </c>
      <c r="B1" s="7"/>
      <c r="F1" s="9"/>
    </row>
    <row r="2" spans="1:6" x14ac:dyDescent="0.25">
      <c r="A2" s="7"/>
      <c r="B2" s="7"/>
      <c r="F2" s="9"/>
    </row>
    <row r="3" spans="1:6" x14ac:dyDescent="0.25">
      <c r="A3" s="7"/>
      <c r="B3" s="7"/>
      <c r="F3" s="9"/>
    </row>
    <row r="4" spans="1:6" ht="26" x14ac:dyDescent="0.6">
      <c r="A4" s="7"/>
      <c r="B4" s="471" t="s">
        <v>82</v>
      </c>
      <c r="C4" s="471"/>
      <c r="D4" s="471"/>
      <c r="E4" s="471"/>
    </row>
    <row r="5" spans="1:6" ht="18.5" x14ac:dyDescent="0.45">
      <c r="A5" s="7"/>
      <c r="B5" s="472" t="s">
        <v>918</v>
      </c>
      <c r="C5" s="472"/>
      <c r="D5" s="472"/>
      <c r="E5" s="472"/>
    </row>
    <row r="6" spans="1:6" x14ac:dyDescent="0.25">
      <c r="A6" s="7"/>
      <c r="B6" s="10"/>
    </row>
    <row r="7" spans="1:6" x14ac:dyDescent="0.25">
      <c r="A7" s="7"/>
      <c r="B7" s="10"/>
    </row>
    <row r="8" spans="1:6" x14ac:dyDescent="0.25">
      <c r="A8" s="7"/>
      <c r="B8" s="10"/>
    </row>
    <row r="9" spans="1:6" ht="13.5" thickBot="1" x14ac:dyDescent="0.35">
      <c r="A9" s="7"/>
      <c r="B9" s="10"/>
      <c r="D9" s="338"/>
    </row>
    <row r="10" spans="1:6" ht="13" thickBot="1" x14ac:dyDescent="0.3">
      <c r="B10" s="368" t="s">
        <v>64</v>
      </c>
      <c r="C10" s="368" t="s">
        <v>308</v>
      </c>
      <c r="D10" s="368" t="s">
        <v>301</v>
      </c>
      <c r="E10" s="369" t="s">
        <v>65</v>
      </c>
    </row>
    <row r="11" spans="1:6" ht="17.149999999999999" customHeight="1" x14ac:dyDescent="0.25">
      <c r="B11" s="365" t="s">
        <v>66</v>
      </c>
      <c r="C11" s="366">
        <v>415000</v>
      </c>
      <c r="D11" s="366">
        <v>373000</v>
      </c>
      <c r="E11" s="367">
        <f>((C11/D11)-1)</f>
        <v>0.11260053619302957</v>
      </c>
      <c r="F11" s="337"/>
    </row>
    <row r="12" spans="1:6" ht="30" customHeight="1" x14ac:dyDescent="0.25">
      <c r="B12" s="274" t="s">
        <v>199</v>
      </c>
      <c r="C12" s="361">
        <v>172000</v>
      </c>
      <c r="D12" s="361">
        <v>155000</v>
      </c>
      <c r="E12" s="367">
        <f t="shared" ref="E12:E31" si="0">((C12/D12)-1)</f>
        <v>0.10967741935483866</v>
      </c>
      <c r="F12" s="337"/>
    </row>
    <row r="13" spans="1:6" ht="17.149999999999999" customHeight="1" x14ac:dyDescent="0.25">
      <c r="B13" s="274" t="s">
        <v>200</v>
      </c>
      <c r="C13" s="361">
        <v>172000</v>
      </c>
      <c r="D13" s="361">
        <v>155000</v>
      </c>
      <c r="E13" s="367">
        <f t="shared" si="0"/>
        <v>0.10967741935483866</v>
      </c>
      <c r="F13" s="337"/>
    </row>
    <row r="14" spans="1:6" ht="17.149999999999999" customHeight="1" x14ac:dyDescent="0.25">
      <c r="B14" s="274" t="s">
        <v>203</v>
      </c>
      <c r="C14" s="361">
        <v>41000</v>
      </c>
      <c r="D14" s="361">
        <v>37000</v>
      </c>
      <c r="E14" s="367">
        <f t="shared" si="0"/>
        <v>0.10810810810810811</v>
      </c>
      <c r="F14" s="337"/>
    </row>
    <row r="15" spans="1:6" ht="17.149999999999999" customHeight="1" x14ac:dyDescent="0.25">
      <c r="B15" s="274" t="s">
        <v>204</v>
      </c>
      <c r="C15" s="361">
        <v>41000</v>
      </c>
      <c r="D15" s="361">
        <v>37000</v>
      </c>
      <c r="E15" s="367">
        <f t="shared" si="0"/>
        <v>0.10810810810810811</v>
      </c>
      <c r="F15" s="337"/>
    </row>
    <row r="16" spans="1:6" ht="17.149999999999999" customHeight="1" x14ac:dyDescent="0.25">
      <c r="B16" s="274" t="s">
        <v>67</v>
      </c>
      <c r="C16" s="361">
        <v>66000</v>
      </c>
      <c r="D16" s="362">
        <v>60000</v>
      </c>
      <c r="E16" s="367">
        <f t="shared" si="0"/>
        <v>0.10000000000000009</v>
      </c>
      <c r="F16" s="337"/>
    </row>
    <row r="17" spans="2:6" ht="17.149999999999999" customHeight="1" x14ac:dyDescent="0.25">
      <c r="B17" s="274" t="s">
        <v>68</v>
      </c>
      <c r="C17" s="361">
        <v>72000</v>
      </c>
      <c r="D17" s="362">
        <v>65000</v>
      </c>
      <c r="E17" s="367">
        <f t="shared" si="0"/>
        <v>0.10769230769230775</v>
      </c>
      <c r="F17" s="337"/>
    </row>
    <row r="18" spans="2:6" ht="17.149999999999999" customHeight="1" x14ac:dyDescent="0.25">
      <c r="B18" s="274" t="s">
        <v>69</v>
      </c>
      <c r="C18" s="361">
        <v>35000</v>
      </c>
      <c r="D18" s="361">
        <v>32000</v>
      </c>
      <c r="E18" s="367">
        <f t="shared" si="0"/>
        <v>9.375E-2</v>
      </c>
      <c r="F18" s="337"/>
    </row>
    <row r="19" spans="2:6" ht="30" customHeight="1" x14ac:dyDescent="0.3">
      <c r="B19" s="370" t="s">
        <v>201</v>
      </c>
      <c r="C19" s="361">
        <v>962000</v>
      </c>
      <c r="D19" s="361">
        <v>863000</v>
      </c>
      <c r="E19" s="367">
        <f t="shared" si="0"/>
        <v>0.11471610660486675</v>
      </c>
      <c r="F19" s="337"/>
    </row>
    <row r="20" spans="2:6" ht="30" customHeight="1" x14ac:dyDescent="0.3">
      <c r="B20" s="370" t="s">
        <v>202</v>
      </c>
      <c r="C20" s="361">
        <v>962000</v>
      </c>
      <c r="D20" s="361">
        <v>863000</v>
      </c>
      <c r="E20" s="367">
        <f t="shared" si="0"/>
        <v>0.11471610660486675</v>
      </c>
      <c r="F20" s="337"/>
    </row>
    <row r="21" spans="2:6" ht="17.149999999999999" customHeight="1" x14ac:dyDescent="0.25">
      <c r="B21" s="274" t="s">
        <v>70</v>
      </c>
      <c r="C21" s="361">
        <v>35000</v>
      </c>
      <c r="D21" s="361">
        <v>32000</v>
      </c>
      <c r="E21" s="367">
        <f t="shared" si="0"/>
        <v>9.375E-2</v>
      </c>
      <c r="F21" s="337"/>
    </row>
    <row r="22" spans="2:6" ht="30" customHeight="1" x14ac:dyDescent="0.25">
      <c r="B22" s="274" t="s">
        <v>71</v>
      </c>
      <c r="C22" s="361">
        <v>7800</v>
      </c>
      <c r="D22" s="361">
        <v>7000</v>
      </c>
      <c r="E22" s="367">
        <f t="shared" si="0"/>
        <v>0.11428571428571432</v>
      </c>
      <c r="F22" s="337"/>
    </row>
    <row r="23" spans="2:6" ht="17.149999999999999" customHeight="1" x14ac:dyDescent="0.25">
      <c r="B23" s="274" t="s">
        <v>72</v>
      </c>
      <c r="C23" s="363">
        <v>4400</v>
      </c>
      <c r="D23" s="363">
        <v>4000</v>
      </c>
      <c r="E23" s="367">
        <f t="shared" si="0"/>
        <v>0.10000000000000009</v>
      </c>
      <c r="F23" s="337"/>
    </row>
    <row r="24" spans="2:6" ht="17.149999999999999" customHeight="1" x14ac:dyDescent="0.25">
      <c r="B24" s="274" t="s">
        <v>73</v>
      </c>
      <c r="C24" s="363">
        <v>13300</v>
      </c>
      <c r="D24" s="363">
        <v>12000</v>
      </c>
      <c r="E24" s="367">
        <f t="shared" si="0"/>
        <v>0.10833333333333339</v>
      </c>
      <c r="F24" s="337"/>
    </row>
    <row r="25" spans="2:6" ht="17.149999999999999" customHeight="1" x14ac:dyDescent="0.25">
      <c r="B25" s="274" t="s">
        <v>164</v>
      </c>
      <c r="C25" s="363">
        <v>77000</v>
      </c>
      <c r="D25" s="363">
        <v>77000</v>
      </c>
      <c r="E25" s="367">
        <f t="shared" si="0"/>
        <v>0</v>
      </c>
      <c r="F25" s="337"/>
    </row>
    <row r="26" spans="2:6" ht="17.149999999999999" customHeight="1" x14ac:dyDescent="0.3">
      <c r="B26" s="370" t="s">
        <v>74</v>
      </c>
      <c r="C26" s="363">
        <v>85000</v>
      </c>
      <c r="D26" s="363">
        <v>77000</v>
      </c>
      <c r="E26" s="367">
        <f t="shared" si="0"/>
        <v>0.10389610389610393</v>
      </c>
      <c r="F26" s="337"/>
    </row>
    <row r="27" spans="2:6" ht="17.149999999999999" customHeight="1" x14ac:dyDescent="0.25">
      <c r="B27" s="274" t="s">
        <v>197</v>
      </c>
      <c r="C27" s="363">
        <v>159000</v>
      </c>
      <c r="D27" s="363">
        <v>143000</v>
      </c>
      <c r="E27" s="367">
        <f t="shared" si="0"/>
        <v>0.11188811188811187</v>
      </c>
      <c r="F27" s="337"/>
    </row>
    <row r="28" spans="2:6" ht="30" customHeight="1" x14ac:dyDescent="0.25">
      <c r="B28" s="274" t="s">
        <v>198</v>
      </c>
      <c r="C28" s="363">
        <v>159000</v>
      </c>
      <c r="D28" s="363">
        <v>143000</v>
      </c>
      <c r="E28" s="367">
        <f t="shared" si="0"/>
        <v>0.11188811188811187</v>
      </c>
      <c r="F28" s="337"/>
    </row>
    <row r="29" spans="2:6" ht="30" customHeight="1" x14ac:dyDescent="0.25">
      <c r="B29" s="274" t="s">
        <v>276</v>
      </c>
      <c r="C29" s="363">
        <v>479000</v>
      </c>
      <c r="D29" s="363">
        <v>430000</v>
      </c>
      <c r="E29" s="367">
        <f t="shared" si="0"/>
        <v>0.11395348837209296</v>
      </c>
      <c r="F29" s="337"/>
    </row>
    <row r="30" spans="2:6" ht="17.149999999999999" customHeight="1" x14ac:dyDescent="0.3">
      <c r="B30" s="370" t="s">
        <v>75</v>
      </c>
      <c r="C30" s="363">
        <v>375000</v>
      </c>
      <c r="D30" s="363">
        <v>337000</v>
      </c>
      <c r="E30" s="367">
        <f t="shared" si="0"/>
        <v>0.11275964391691384</v>
      </c>
      <c r="F30" s="337"/>
    </row>
    <row r="31" spans="2:6" ht="13" thickBot="1" x14ac:dyDescent="0.3">
      <c r="B31" s="371" t="s">
        <v>105</v>
      </c>
      <c r="C31" s="364">
        <v>137000</v>
      </c>
      <c r="D31" s="364">
        <v>123000</v>
      </c>
      <c r="E31" s="367">
        <f t="shared" si="0"/>
        <v>0.11382113821138207</v>
      </c>
      <c r="F31" s="337"/>
    </row>
    <row r="32" spans="2:6" x14ac:dyDescent="0.25">
      <c r="D32" s="8" t="s">
        <v>140</v>
      </c>
    </row>
  </sheetData>
  <sheetProtection algorithmName="SHA-512" hashValue="WAn0JCveCIaZb+Q6siVqYIQcycdcqRhbIZ9bWCv+zTAokWddsow3tE/CU7AGigYdTJGpxJDqCqSKqAL2RklN8A==" saltValue="z9bn9hKdCj+yZVAmgc4iKA==" spinCount="100000" sheet="1" scenarios="1" formatCells="0" formatColumns="0" formatRows="0" insertColumns="0" insertRows="0" insertHyperlinks="0" deleteColumns="0" deleteRows="0" autoFilter="0" pivotTables="0"/>
  <mergeCells count="2">
    <mergeCell ref="B4:E4"/>
    <mergeCell ref="B5:E5"/>
  </mergeCells>
  <hyperlinks>
    <hyperlink ref="A1" location="Contenido!A1" display="Volver al menú" xr:uid="{00000000-0004-0000-0600-000000000000}"/>
  </hyperlinks>
  <pageMargins left="0.75" right="0.75" top="1" bottom="1" header="0" footer="0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36f81e-7c28-4e07-8109-d0a506b1a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50CB1A5F2C541A0F1CCF7351684B4" ma:contentTypeVersion="15" ma:contentTypeDescription="Create a new document." ma:contentTypeScope="" ma:versionID="3fea03518294de23dfadfb7de1c8e415">
  <xsd:schema xmlns:xsd="http://www.w3.org/2001/XMLSchema" xmlns:xs="http://www.w3.org/2001/XMLSchema" xmlns:p="http://schemas.microsoft.com/office/2006/metadata/properties" xmlns:ns3="9619955a-3bf3-4bfe-afaf-35fde77484d9" xmlns:ns4="1336f81e-7c28-4e07-8109-d0a506b1a65d" targetNamespace="http://schemas.microsoft.com/office/2006/metadata/properties" ma:root="true" ma:fieldsID="1b7c8483c0ca972d4a2f7b83154cff61" ns3:_="" ns4:_="">
    <xsd:import namespace="9619955a-3bf3-4bfe-afaf-35fde77484d9"/>
    <xsd:import namespace="1336f81e-7c28-4e07-8109-d0a506b1a6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DateTaken" minOccurs="0"/>
                <xsd:element ref="ns3:SharedWithDetails" minOccurs="0"/>
                <xsd:element ref="ns3:SharingHintHash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9955a-3bf3-4bfe-afaf-35fde77484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6f81e-7c28-4e07-8109-d0a506b1a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7014C-6230-4B60-9638-0FEF3509C8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6B646-D6B1-4C49-B3C6-D5741BF15250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1336f81e-7c28-4e07-8109-d0a506b1a65d"/>
    <ds:schemaRef ds:uri="9619955a-3bf3-4bfe-afaf-35fde77484d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EC78C7-2216-4CEB-B30A-89CFC54FA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9955a-3bf3-4bfe-afaf-35fde77484d9"/>
    <ds:schemaRef ds:uri="1336f81e-7c28-4e07-8109-d0a506b1a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Contenido</vt:lpstr>
      <vt:lpstr>Valor de los Proyectos2024</vt:lpstr>
      <vt:lpstr>Valor de los Proyectos2022 (2)</vt:lpstr>
      <vt:lpstr>Presupuesto aprobado 2024</vt:lpstr>
      <vt:lpstr>Hoja2</vt:lpstr>
      <vt:lpstr>RecursosInversiones2024</vt:lpstr>
      <vt:lpstr>Valores Matricula2023 - 2024</vt:lpstr>
      <vt:lpstr>Valores Matricula2017-2018 (2)</vt:lpstr>
      <vt:lpstr>OtrosConceptos</vt:lpstr>
      <vt:lpstr>'Valores Matricula2017-2018 (2)'!Área_de_impresión</vt:lpstr>
      <vt:lpstr>'Valores Matricula2023 - 2024'!Área_de_impresión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Guarnizo Sánchez</dc:creator>
  <cp:lastModifiedBy>Francisco Javier Pabon Becerra</cp:lastModifiedBy>
  <cp:lastPrinted>2017-11-30T12:56:45Z</cp:lastPrinted>
  <dcterms:created xsi:type="dcterms:W3CDTF">2015-11-22T13:47:05Z</dcterms:created>
  <dcterms:modified xsi:type="dcterms:W3CDTF">2023-12-15T13:31:28Z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0x010100EEC50CB1A5F2C541A0F1CCF7351684B4</vt:lpwstr>
  </property>
</Properties>
</file>